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>
    <definedName name="Grade">IF(AND('Sheet1'!IU1/'Sheet1'!IR1&gt;=70%),"A",IF(AND('Sheet1'!IU1/'Sheet1'!IR1&gt;=60%),"B",IF(AND('Sheet1'!IU1/'Sheet1'!IR1&gt;=50%),"C",IF(AND('Sheet1'!IU1/'Sheet1'!IR1&gt;=40%),"D","F"))))</definedName>
    <definedName name="Min_1">'Sheet1'!$I$22:$I$27,'Sheet1'!$I$32:$I$37,'Sheet1'!$I$42:$I$47,'Sheet1'!$I$52:$I$57,'Sheet1'!$I$62:$I$67,'Sheet1'!$I$72:$I$74</definedName>
    <definedName name="Option">'Sheet1'!$D$6</definedName>
    <definedName name="Select">IF(AND(Option="I Year"),1,IF(AND(Option="II-I Sem"),2,IF(AND(Option="II-II Sem"),3,IF(AND(Option="III-I Sem"),4,IF(AND(Option="III-II Sem"),5,IF(AND(Option="IV-I Sem"),6,IF(AND(Option="IV-II Sem"),7,0)))))))</definedName>
    <definedName name="Small1_GPA">IF(AND((SMALL(Min_1,1))&gt;=70),4,IF(AND((SMALL(Min_1,1))&gt;=60),3,IF(AND((SMALL(Min_1,1))&gt;=50),2,IF(AND((SMALL(Min_1,1))&gt;=40),1,0))))*4</definedName>
    <definedName name="Small2_GPA">IF(AND((SMALL(Min_1,2))&gt;=70),4,IF(AND((SMALL(Min_1,2))&gt;=60),3,IF(AND((SMALL(Min_1,2))&gt;=50),2,IF(AND((SMALL(Min_1,2))&gt;=40),1,0))))*4</definedName>
    <definedName name="Sum_of_Least_Two">(SMALL(Min_1,1))+(SMALL(Min_1,2))</definedName>
  </definedNames>
  <calcPr fullCalcOnLoad="1"/>
</workbook>
</file>

<file path=xl/sharedStrings.xml><?xml version="1.0" encoding="utf-8"?>
<sst xmlns="http://schemas.openxmlformats.org/spreadsheetml/2006/main" count="75" uniqueCount="71">
  <si>
    <t xml:space="preserve">Name </t>
  </si>
  <si>
    <t xml:space="preserve">Reg. No </t>
  </si>
  <si>
    <t>I Year</t>
  </si>
  <si>
    <t>English</t>
  </si>
  <si>
    <t>Help</t>
  </si>
  <si>
    <t>Mathematics - I</t>
  </si>
  <si>
    <t>Mathematical Methods</t>
  </si>
  <si>
    <t>II-I Sem</t>
  </si>
  <si>
    <t>II-II Sem</t>
  </si>
  <si>
    <t>C &amp; DS</t>
  </si>
  <si>
    <t>III-I Sem</t>
  </si>
  <si>
    <t>III-II Sem</t>
  </si>
  <si>
    <t>IV-I Sem</t>
  </si>
  <si>
    <t>IV-II Sem</t>
  </si>
  <si>
    <t>Computer Programming Lab</t>
  </si>
  <si>
    <t>English Lab</t>
  </si>
  <si>
    <t>Project Work</t>
  </si>
  <si>
    <t>Seminar</t>
  </si>
  <si>
    <t>-</t>
  </si>
  <si>
    <t>Industry Oriented Mini Project</t>
  </si>
  <si>
    <t>Comprehensive Viva Voce</t>
  </si>
  <si>
    <t>Engineering Physics</t>
  </si>
  <si>
    <t>Engineering Chemistry</t>
  </si>
  <si>
    <t>IT Workshop / Engineering Workshop</t>
  </si>
  <si>
    <t>Electrical Physics / Engineering Chem Lab</t>
  </si>
  <si>
    <t>www.engineershub.in</t>
  </si>
  <si>
    <t>Engineering Drawing</t>
  </si>
  <si>
    <t>Jawaharlal Nehru Technological University HYD - B.Tech IT R09</t>
  </si>
  <si>
    <t>Data Communication Systems</t>
  </si>
  <si>
    <t>Mathematical Foundations for Computer Science</t>
  </si>
  <si>
    <t>Data Structures through C++</t>
  </si>
  <si>
    <t>DLD &amp; Computer Organization</t>
  </si>
  <si>
    <t>Basic Electrical Engineering</t>
  </si>
  <si>
    <t>Electronic Devices &amp; Circuits</t>
  </si>
  <si>
    <t>Data Structures through C++ Lab</t>
  </si>
  <si>
    <t>Electrical &amp; Electronics Lab</t>
  </si>
  <si>
    <t>Prnciples of Programming Languages</t>
  </si>
  <si>
    <t>Database Management Systems</t>
  </si>
  <si>
    <t>Object Oriented Programming</t>
  </si>
  <si>
    <t>Environmental Studies</t>
  </si>
  <si>
    <t>Probability &amp; Statistics</t>
  </si>
  <si>
    <t>Design &amp; Analysis of Algorithms</t>
  </si>
  <si>
    <t>Object Oriented Programming Lab</t>
  </si>
  <si>
    <t>Database Management Systems Lab</t>
  </si>
  <si>
    <t>Automa &amp; Compiler Design</t>
  </si>
  <si>
    <t>Linux Programming</t>
  </si>
  <si>
    <t>Software Engineering</t>
  </si>
  <si>
    <t>Operating Systems</t>
  </si>
  <si>
    <t>Computer Networks</t>
  </si>
  <si>
    <t>Manegerial Economics &amp; Financial Analysis</t>
  </si>
  <si>
    <t>Operating Systems &amp; Comp Netw Lab</t>
  </si>
  <si>
    <t>Advanced English Communication Skill Lab</t>
  </si>
  <si>
    <t>Web Technologies</t>
  </si>
  <si>
    <t>OR/IPR&amp;CL/CF</t>
  </si>
  <si>
    <t>Network Security</t>
  </si>
  <si>
    <t>Computer Graphics</t>
  </si>
  <si>
    <t>Data Warehousing &amp; Data Mining</t>
  </si>
  <si>
    <t>Embeded Systems</t>
  </si>
  <si>
    <t>Embeded Systems &amp; Data Mining Lab</t>
  </si>
  <si>
    <t>Web Technologies Lab</t>
  </si>
  <si>
    <t>Sub 1</t>
  </si>
  <si>
    <t>Sub 2</t>
  </si>
  <si>
    <t>Sub 3</t>
  </si>
  <si>
    <t>Elective 1</t>
  </si>
  <si>
    <t>Elective 2</t>
  </si>
  <si>
    <t>Elective 3</t>
  </si>
  <si>
    <t>Lab 1</t>
  </si>
  <si>
    <t>Lab 2</t>
  </si>
  <si>
    <t>Elective 4</t>
  </si>
  <si>
    <t>Elective 5</t>
  </si>
  <si>
    <t>Select Semester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</si>
</sst>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4009]dd\ mmmm\ yyyy"/>
  </numFmts>
  <fonts count="51">
    <font>
      <sz val="11"/>
      <color indexed="8"/>
      <name val="Georgia"/>
      <family val="2"/>
    </font>
    <font>
      <sz val="11"/>
      <color indexed="8"/>
      <name val="Lucida Sans Unicode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8"/>
      <name val="Book Antiqua"/>
      <family val="1"/>
    </font>
    <font>
      <sz val="11"/>
      <name val="Calibri"/>
      <family val="2"/>
    </font>
    <font>
      <b/>
      <sz val="11"/>
      <color indexed="9"/>
      <name val="Book Antiqua"/>
      <family val="1"/>
    </font>
    <font>
      <b/>
      <sz val="11"/>
      <color indexed="9"/>
      <name val="Cambria"/>
      <family val="1"/>
    </font>
    <font>
      <sz val="11"/>
      <color indexed="9"/>
      <name val="Book Antiqua"/>
      <family val="1"/>
    </font>
    <font>
      <sz val="11"/>
      <color indexed="56"/>
      <name val="Book Antiqua"/>
      <family val="1"/>
    </font>
    <font>
      <b/>
      <sz val="20"/>
      <color indexed="56"/>
      <name val="Cambria"/>
      <family val="1"/>
    </font>
    <font>
      <sz val="20"/>
      <color indexed="56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Georg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Georgi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0" fontId="45" fillId="0" borderId="6" applyNumberFormat="0" applyFill="0" applyAlignment="0" applyProtection="0"/>
    <xf numFmtId="0" fontId="46" fillId="33" borderId="0" applyNumberFormat="0" applyBorder="0" applyAlignment="0" applyProtection="0"/>
    <xf numFmtId="0" fontId="0" fillId="34" borderId="7" applyNumberFormat="0" applyFont="0" applyAlignment="0" applyProtection="0"/>
    <xf numFmtId="0" fontId="47" fillId="27" borderId="8" applyNumberFormat="0" applyAlignment="0" applyProtection="0"/>
    <xf numFmtId="0" fontId="1" fillId="3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left" vertical="center"/>
    </xf>
    <xf numFmtId="0" fontId="5" fillId="37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2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>
      <alignment horizontal="center"/>
    </xf>
    <xf numFmtId="2" fontId="5" fillId="36" borderId="0" xfId="0" applyNumberFormat="1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3" fillId="30" borderId="10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172" fontId="5" fillId="36" borderId="0" xfId="0" applyNumberFormat="1" applyFont="1" applyFill="1" applyAlignment="1">
      <alignment horizontal="center" vertical="center"/>
    </xf>
    <xf numFmtId="172" fontId="5" fillId="36" borderId="0" xfId="0" applyNumberFormat="1" applyFont="1" applyFill="1" applyAlignment="1">
      <alignment horizontal="center" vertical="center"/>
    </xf>
    <xf numFmtId="0" fontId="43" fillId="36" borderId="0" xfId="52" applyFill="1" applyAlignment="1" applyProtection="1">
      <alignment horizontal="center" vertical="center"/>
      <protection/>
    </xf>
    <xf numFmtId="0" fontId="11" fillId="36" borderId="0" xfId="0" applyFont="1" applyFill="1" applyAlignment="1">
      <alignment horizontal="center" vertical="center"/>
    </xf>
    <xf numFmtId="0" fontId="5" fillId="30" borderId="11" xfId="0" applyFont="1" applyFill="1" applyBorder="1" applyAlignment="1">
      <alignment horizontal="right"/>
    </xf>
    <xf numFmtId="0" fontId="4" fillId="30" borderId="12" xfId="0" applyFont="1" applyFill="1" applyBorder="1" applyAlignment="1">
      <alignment horizontal="right"/>
    </xf>
    <xf numFmtId="0" fontId="12" fillId="36" borderId="0" xfId="0" applyFont="1" applyFill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5" fillId="30" borderId="10" xfId="0" applyFont="1" applyFill="1" applyBorder="1" applyAlignment="1">
      <alignment horizontal="right" vertical="center"/>
    </xf>
    <xf numFmtId="0" fontId="5" fillId="30" borderId="10" xfId="0" applyFont="1" applyFill="1" applyBorder="1" applyAlignment="1">
      <alignment/>
    </xf>
    <xf numFmtId="0" fontId="5" fillId="36" borderId="0" xfId="0" applyFont="1" applyFill="1" applyAlignment="1">
      <alignment horizontal="center" vertical="center"/>
    </xf>
    <xf numFmtId="10" fontId="5" fillId="36" borderId="0" xfId="0" applyNumberFormat="1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 textRotation="90"/>
    </xf>
    <xf numFmtId="16" fontId="6" fillId="36" borderId="0" xfId="0" applyNumberFormat="1" applyFont="1" applyFill="1" applyAlignment="1">
      <alignment horizontal="center" vertical="center" textRotation="90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7"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border>
        <left/>
        <right/>
        <top/>
        <bottom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30"/>
        </left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ont>
        <color indexed="9"/>
      </font>
    </dxf>
    <dxf>
      <border>
        <left style="thin">
          <color indexed="30"/>
        </left>
        <right style="thin">
          <color indexed="30"/>
        </right>
        <top style="thin">
          <color indexed="30"/>
        </top>
        <bottom style="thin">
          <color indexed="30"/>
        </bottom>
      </border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ill>
        <patternFill>
          <bgColor indexed="30"/>
        </patternFill>
      </fill>
    </dxf>
    <dxf>
      <font>
        <color auto="1"/>
      </font>
    </dxf>
    <dxf>
      <font>
        <color auto="1"/>
      </font>
      <border/>
    </dxf>
    <dxf>
      <border>
        <left style="thin">
          <color rgb="FF0066CC"/>
        </left>
        <right style="thin">
          <color rgb="FFFF00FF"/>
        </right>
        <top style="thin"/>
        <bottom style="thin">
          <color rgb="FFFF00FF"/>
        </bottom>
      </border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342900</xdr:rowOff>
    </xdr:from>
    <xdr:to>
      <xdr:col>3</xdr:col>
      <xdr:colOff>1285875</xdr:colOff>
      <xdr:row>2</xdr:row>
      <xdr:rowOff>885825</xdr:rowOff>
    </xdr:to>
    <xdr:pic>
      <xdr:nvPicPr>
        <xdr:cNvPr id="1" name="Picture 2" descr="engineershu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2324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1</xdr:row>
      <xdr:rowOff>466725</xdr:rowOff>
    </xdr:from>
    <xdr:to>
      <xdr:col>10</xdr:col>
      <xdr:colOff>971550</xdr:colOff>
      <xdr:row>2</xdr:row>
      <xdr:rowOff>723900</xdr:rowOff>
    </xdr:to>
    <xdr:pic>
      <xdr:nvPicPr>
        <xdr:cNvPr id="2" name="Picture 3" descr="sparcsis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600075"/>
          <a:ext cx="2600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shub.i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80" zoomScaleNormal="80"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D6" sqref="D6"/>
    </sheetView>
  </sheetViews>
  <sheetFormatPr defaultColWidth="8.88671875" defaultRowHeight="16.5" customHeight="1"/>
  <cols>
    <col min="1" max="1" width="1.88671875" style="7" bestFit="1" customWidth="1"/>
    <col min="2" max="2" width="6.77734375" style="8" bestFit="1" customWidth="1"/>
    <col min="3" max="3" width="6.21484375" style="9" bestFit="1" customWidth="1"/>
    <col min="4" max="4" width="30.88671875" style="1" bestFit="1" customWidth="1"/>
    <col min="5" max="5" width="6.77734375" style="7" bestFit="1" customWidth="1"/>
    <col min="6" max="6" width="6.77734375" style="9" bestFit="1" customWidth="1"/>
    <col min="7" max="7" width="8.99609375" style="9" bestFit="1" customWidth="1"/>
    <col min="8" max="8" width="7.99609375" style="9" bestFit="1" customWidth="1"/>
    <col min="9" max="10" width="6.77734375" style="9" bestFit="1" customWidth="1"/>
    <col min="11" max="11" width="12.21484375" style="9" bestFit="1" customWidth="1"/>
    <col min="12" max="12" width="1.77734375" style="7" bestFit="1" customWidth="1"/>
    <col min="13" max="13" width="8.88671875" style="25" bestFit="1" customWidth="1"/>
    <col min="14" max="14" width="8.88671875" style="21" bestFit="1" customWidth="1"/>
    <col min="15" max="15" width="8.88671875" style="7" bestFit="1" customWidth="1"/>
    <col min="16" max="16384" width="8.88671875" style="7" customWidth="1"/>
  </cols>
  <sheetData>
    <row r="1" spans="1:12" ht="10.5" customHeight="1">
      <c r="A1" s="4"/>
      <c r="B1" s="5"/>
      <c r="C1" s="6"/>
      <c r="D1" s="3"/>
      <c r="E1" s="4"/>
      <c r="F1" s="6"/>
      <c r="G1" s="6"/>
      <c r="H1" s="6"/>
      <c r="I1" s="6"/>
      <c r="J1" s="6"/>
      <c r="K1" s="6"/>
      <c r="L1" s="4"/>
    </row>
    <row r="2" spans="1:12" ht="37.5" customHeight="1">
      <c r="A2" s="4"/>
      <c r="B2" s="34" t="s">
        <v>27</v>
      </c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12" ht="72.75" customHeight="1">
      <c r="A3" s="4"/>
      <c r="L3" s="4"/>
    </row>
    <row r="4" spans="1:12" ht="16.5">
      <c r="A4" s="4"/>
      <c r="B4" s="36" t="s">
        <v>0</v>
      </c>
      <c r="C4" s="37"/>
      <c r="D4" s="23"/>
      <c r="L4" s="4"/>
    </row>
    <row r="5" spans="1:12" ht="16.5">
      <c r="A5" s="4"/>
      <c r="B5" s="36" t="s">
        <v>1</v>
      </c>
      <c r="C5" s="37"/>
      <c r="D5" s="23"/>
      <c r="F5" s="38" t="str">
        <f>IF(Select&gt;=1,"Credits","")</f>
        <v>Credits</v>
      </c>
      <c r="G5" s="38"/>
      <c r="H5" s="38" t="str">
        <f>IF(Select&gt;=1,"Percentage","")</f>
        <v>Percentage</v>
      </c>
      <c r="I5" s="38"/>
      <c r="J5" s="10" t="str">
        <f>IF(Select&gt;=1,"CGPA","")</f>
        <v>CGPA</v>
      </c>
      <c r="L5" s="4"/>
    </row>
    <row r="6" spans="1:12" ht="16.5">
      <c r="A6" s="4"/>
      <c r="B6" s="32" t="s">
        <v>70</v>
      </c>
      <c r="C6" s="33"/>
      <c r="D6" s="24" t="s">
        <v>2</v>
      </c>
      <c r="F6" s="8">
        <f>IF(AND(Select=1),J20,IF(AND(Select=2),J20+J30,IF(AND(Select=3),J20+J30+J40,IF(AND(Select=4),J20+J30+J40+J50,IF(AND(Select=5),J20+J30+J40+J50+J60,IF(AND(Select=6),J20+J30+J40+J50+J60+J70,IF(AND(Select=7),J20+J30+J40+J50+J60+J70+J79,"")))))))</f>
        <v>0</v>
      </c>
      <c r="G6" s="11">
        <f>IF(AND(Select=1),E20,IF(AND(Select=2),E20+E30,IF(AND(Select=3),E20+E30+E40,IF(AND(Select=4),E20+E30+E40+E50,IF(AND(Select=5),E20+E30+E40+E50+E60,IF(AND(Select=6),E20+E30+E40+E50+E60+E70,IF(AND(Select=7),E20+E30+E40+E50+E60+E70+E79,"")))))))</f>
        <v>50</v>
      </c>
      <c r="H6" s="39">
        <f>IF(AND(Select=1),B9,IF(AND(Select=2),(I20+I30)/(F20+F30),IF(AND(Select=3),(I20+I30+I40)/(F20+F30+F40),IF(AND(Select=4),(I20+I30+I40+I50)/(F20+F30+F40+F50),IF(AND(Select=5),(I20+I30+I40+I50+I60)/(F20+F30+F40+F50+F60),IF(AND(Select=6),(I20+I30+I40+I50+I60+I70)/(F20+F30+F40+F50+F60+F70),IF(AND(Select=7),(I20+I30+I40+I50+I60+I70+I79-(Sum_of_Least_Two))/(F20+F30+F40+F50+F60+F70+F79-200),"")))))))</f>
        <v>0</v>
      </c>
      <c r="I6" s="39"/>
      <c r="J6" s="19">
        <f>IF(AND(Select=1),SUM(M9:M19)/E20,IF(AND(Select=2),SUM(M9:M19,M22:M29)/SUM(E20,E30),IF(AND(Select=3),SUM(M9:M19,M22:M29,M32:M39)/SUM(E20,E30,E40),IF(AND(Select=4),SUM(M9:M19,M22:M29,M32:M39,M42:M49)/SUM(E20,E30,E40,E50),IF(AND(Select=5),SUM(M9:M19,M22:M29,M32:M39,M42:M49,M52:M59)/SUM(E20,E30,E40,E50,E60),IF(AND(Select=6),SUM(M9:M19,M22:M29,M32:M39,M42:M49,M52:M59,M62:M69)/SUM(E20,E30,E40,E50,E60,E70),IF(AND(Select=7),((SUM(M9:M19,M22:M29,M32:M39,M42:M49,M52:M59,M62:M69,M72:M78))-(SUM(Small1_GPA+Small2_GPA)))/((SUM(E20,E30,E40,E50,E60,E70,E79))-8),"")))))))</f>
        <v>0</v>
      </c>
      <c r="L6" s="4"/>
    </row>
    <row r="7" spans="1:12" ht="16.5">
      <c r="A7" s="4"/>
      <c r="B7" s="27">
        <f>IF(Select=0,"As per JNTU Percentage &amp; GPA(4 Point Scale) is Calculated for 200 Credits.","")</f>
      </c>
      <c r="I7" s="30" t="s">
        <v>25</v>
      </c>
      <c r="J7" s="31"/>
      <c r="K7" s="31"/>
      <c r="L7" s="4"/>
    </row>
    <row r="8" spans="1:14" s="13" customFormat="1" ht="32.25" customHeight="1">
      <c r="A8" s="12"/>
      <c r="B8" s="14"/>
      <c r="C8" s="14" t="str">
        <f>IF(Select&gt;=1,"Sl. No","")</f>
        <v>Sl. No</v>
      </c>
      <c r="D8" s="15" t="str">
        <f>IF(Select&gt;=1,"Subject","")</f>
        <v>Subject</v>
      </c>
      <c r="E8" s="14" t="str">
        <f>IF(Select&gt;=1,"Credits","")</f>
        <v>Credits</v>
      </c>
      <c r="F8" s="14" t="str">
        <f>IF(Select&gt;=1,"Max Marks","")</f>
        <v>Max Marks</v>
      </c>
      <c r="G8" s="14" t="str">
        <f>IF(Select&gt;=1,"Internal Marks","")</f>
        <v>Internal Marks</v>
      </c>
      <c r="H8" s="14" t="str">
        <f>IF(Select&gt;=1,"External Marks","")</f>
        <v>External Marks</v>
      </c>
      <c r="I8" s="14" t="str">
        <f>IF(Select&gt;=1,"Total Marks","")</f>
        <v>Total Marks</v>
      </c>
      <c r="J8" s="14" t="str">
        <f>IF(Select&gt;=1,"Total Credits","")</f>
        <v>Total Credits</v>
      </c>
      <c r="K8" s="14" t="str">
        <f>IF(Select&gt;=1,"Grade","")</f>
        <v>Grade</v>
      </c>
      <c r="L8" s="12"/>
      <c r="M8" s="20"/>
      <c r="N8" s="20"/>
    </row>
    <row r="9" spans="2:14" ht="16.5">
      <c r="B9" s="28">
        <f>IF(Select&gt;=1,I20/F20,"")</f>
        <v>0</v>
      </c>
      <c r="C9" s="9">
        <f>IF(Select&gt;=1,1,"")</f>
        <v>1</v>
      </c>
      <c r="D9" s="16" t="s">
        <v>3</v>
      </c>
      <c r="E9" s="9">
        <f>IF(Select&gt;=1,4,"")</f>
        <v>4</v>
      </c>
      <c r="F9" s="9">
        <f>IF(Select&gt;=1,100,"")</f>
        <v>100</v>
      </c>
      <c r="G9" s="17"/>
      <c r="H9" s="17"/>
      <c r="I9" s="9">
        <f>IF(Select&gt;=1,SUM($G$9:$H$9),"")</f>
        <v>0</v>
      </c>
      <c r="J9" s="9">
        <f>IF(Select&gt;=1,IF((I9/F9&gt;=40%),E9,0),"")</f>
        <v>0</v>
      </c>
      <c r="K9" s="9">
        <f>IF(Select&gt;=1,IF(AND(I9&gt;0),Grade,""),"")</f>
      </c>
      <c r="M9" s="25">
        <f>IF(AND(K9="A"),4,IF(AND(K9="B"),3,IF(AND(K9="C"),2,IF(AND(K9="D"),1,0))))*J9</f>
        <v>0</v>
      </c>
      <c r="N9" s="21" t="s">
        <v>4</v>
      </c>
    </row>
    <row r="10" spans="2:14" ht="14.25" customHeight="1">
      <c r="B10" s="40" t="str">
        <f>IF(Select&gt;=1,"Ist Year","")</f>
        <v>Ist Year</v>
      </c>
      <c r="C10" s="9">
        <f>IF(Select&gt;=1,C9+1,"")</f>
        <v>2</v>
      </c>
      <c r="D10" s="16" t="s">
        <v>5</v>
      </c>
      <c r="E10" s="9">
        <f>IF(Select&gt;=1,6,"")</f>
        <v>6</v>
      </c>
      <c r="F10" s="9">
        <f>IF(Select&gt;=1,100,"")</f>
        <v>100</v>
      </c>
      <c r="G10" s="17"/>
      <c r="H10" s="17"/>
      <c r="I10" s="9">
        <f>IF(Select&gt;=1,SUM($G$10:$H$10),"")</f>
        <v>0</v>
      </c>
      <c r="J10" s="9">
        <f>IF(Select&gt;=1,IF((I10/F10&gt;=40%),E10,0),"")</f>
        <v>0</v>
      </c>
      <c r="K10" s="9">
        <f>IF(Select&gt;=1,IF(AND(I10&gt;0),Grade,""),"")</f>
      </c>
      <c r="M10" s="25">
        <f aca="true" t="shared" si="0" ref="M10:M19">IF(AND(K10="A"),4,IF(AND(K10="B"),3,IF(AND(K10="C"),2,IF(AND(K10="D"),1,0))))*J10</f>
        <v>0</v>
      </c>
      <c r="N10" s="21" t="s">
        <v>2</v>
      </c>
    </row>
    <row r="11" spans="2:14" ht="16.5">
      <c r="B11" s="40"/>
      <c r="C11" s="9">
        <f>IF(Select&gt;=1,C10+1,"")</f>
        <v>3</v>
      </c>
      <c r="D11" s="16" t="s">
        <v>6</v>
      </c>
      <c r="E11" s="9">
        <f>IF(Select&gt;=1,6,"")</f>
        <v>6</v>
      </c>
      <c r="F11" s="9">
        <f>IF(Select&gt;=1,100,"")</f>
        <v>100</v>
      </c>
      <c r="G11" s="17"/>
      <c r="H11" s="17"/>
      <c r="I11" s="9">
        <f>IF(Select&gt;=1,SUM($G$11:$H$11),"")</f>
        <v>0</v>
      </c>
      <c r="J11" s="9">
        <f>IF(Select&gt;=1,IF((I11/F11&gt;=40%),E11,0),"")</f>
        <v>0</v>
      </c>
      <c r="K11" s="9">
        <f>IF(Select&gt;=1,IF(AND(I11&gt;0),Grade,""),"")</f>
      </c>
      <c r="M11" s="25">
        <f t="shared" si="0"/>
        <v>0</v>
      </c>
      <c r="N11" s="21" t="s">
        <v>7</v>
      </c>
    </row>
    <row r="12" spans="2:14" ht="16.5">
      <c r="B12" s="40"/>
      <c r="C12" s="9">
        <f>IF(Select&gt;=1,C11+1,"")</f>
        <v>4</v>
      </c>
      <c r="D12" s="16" t="s">
        <v>21</v>
      </c>
      <c r="E12" s="9">
        <f>IF(Select&gt;=1,4,"")</f>
        <v>4</v>
      </c>
      <c r="F12" s="9">
        <f>IF(Select&gt;=1,100,"")</f>
        <v>100</v>
      </c>
      <c r="G12" s="17"/>
      <c r="H12" s="17"/>
      <c r="I12" s="9">
        <f>IF(Select&gt;=1,SUM($G$12:$H$12),"")</f>
        <v>0</v>
      </c>
      <c r="J12" s="9">
        <f>IF(Select&gt;=1,IF((I12/F12&gt;=40%),E12,0),"")</f>
        <v>0</v>
      </c>
      <c r="K12" s="9">
        <f>IF(Select&gt;=1,IF(AND(I12&gt;0),Grade,""),"")</f>
      </c>
      <c r="M12" s="25">
        <f t="shared" si="0"/>
        <v>0</v>
      </c>
      <c r="N12" s="21" t="s">
        <v>8</v>
      </c>
    </row>
    <row r="13" spans="2:14" ht="16.5">
      <c r="B13" s="40"/>
      <c r="C13" s="9">
        <f>IF(Select&gt;=1,C12+1,"")</f>
        <v>5</v>
      </c>
      <c r="D13" s="16" t="s">
        <v>9</v>
      </c>
      <c r="E13" s="9">
        <f>IF(Select&gt;=1,6,"")</f>
        <v>6</v>
      </c>
      <c r="F13" s="9">
        <f>IF(Select&gt;=1,100,"")</f>
        <v>100</v>
      </c>
      <c r="G13" s="17"/>
      <c r="H13" s="17"/>
      <c r="I13" s="9">
        <f>IF(Select&gt;=1,SUM($G$13:$H$13),"")</f>
        <v>0</v>
      </c>
      <c r="J13" s="9">
        <f>IF(Select&gt;=1,IF((I13/F13&gt;=40%),E13,0),"")</f>
        <v>0</v>
      </c>
      <c r="K13" s="9">
        <f>IF(Select&gt;=1,IF(AND(I13&gt;0),Grade,""),"")</f>
      </c>
      <c r="M13" s="25">
        <f t="shared" si="0"/>
        <v>0</v>
      </c>
      <c r="N13" s="21" t="s">
        <v>10</v>
      </c>
    </row>
    <row r="14" spans="2:14" ht="16.5">
      <c r="B14" s="40"/>
      <c r="C14" s="9">
        <f>IF(Select&gt;=1,C13+1,"")</f>
        <v>6</v>
      </c>
      <c r="D14" s="16" t="s">
        <v>22</v>
      </c>
      <c r="E14" s="9">
        <f>IF(Select&gt;=1,4,"")</f>
        <v>4</v>
      </c>
      <c r="F14" s="9">
        <f>IF(Select&gt;=1,100,"")</f>
        <v>100</v>
      </c>
      <c r="G14" s="17"/>
      <c r="H14" s="17"/>
      <c r="I14" s="9">
        <f>IF(Select&gt;=1,SUM($G$14:$H$14),"")</f>
        <v>0</v>
      </c>
      <c r="J14" s="9">
        <f>IF(Select&gt;=1,IF((I14/F14&gt;=40%),E14,0),"")</f>
        <v>0</v>
      </c>
      <c r="K14" s="9">
        <f>IF(Select&gt;=1,IF(AND(I14&gt;0),Grade,""),"")</f>
      </c>
      <c r="M14" s="25">
        <f t="shared" si="0"/>
        <v>0</v>
      </c>
      <c r="N14" s="21" t="s">
        <v>11</v>
      </c>
    </row>
    <row r="15" spans="2:14" ht="16.5">
      <c r="B15" s="40"/>
      <c r="C15" s="9">
        <f>IF(Select&gt;=1,C14+1,"")</f>
        <v>7</v>
      </c>
      <c r="D15" s="16" t="s">
        <v>26</v>
      </c>
      <c r="E15" s="9">
        <f>IF(Select&gt;=1,4,"")</f>
        <v>4</v>
      </c>
      <c r="F15" s="9">
        <f>IF(Select&gt;=1,100,"")</f>
        <v>100</v>
      </c>
      <c r="G15" s="17"/>
      <c r="H15" s="17"/>
      <c r="I15" s="9">
        <f>IF(Select&gt;=1,SUM($G$15:$H$15),"")</f>
        <v>0</v>
      </c>
      <c r="J15" s="9">
        <f>IF(Select&gt;=1,IF((I15/F15&gt;=40%),E15,0),"")</f>
        <v>0</v>
      </c>
      <c r="K15" s="9">
        <f>IF(Select&gt;=1,IF(AND(I15&gt;0),Grade,""),"")</f>
      </c>
      <c r="M15" s="25">
        <f t="shared" si="0"/>
        <v>0</v>
      </c>
      <c r="N15" s="21" t="s">
        <v>12</v>
      </c>
    </row>
    <row r="16" spans="2:14" ht="16.5">
      <c r="B16" s="40"/>
      <c r="C16" s="9">
        <f>IF(Select&gt;=1,C15+1,"")</f>
        <v>8</v>
      </c>
      <c r="D16" s="16" t="s">
        <v>23</v>
      </c>
      <c r="E16" s="9">
        <f>IF(Select&gt;=1,4,"")</f>
        <v>4</v>
      </c>
      <c r="F16" s="9">
        <f>IF(Select&gt;=1,75,"")</f>
        <v>75</v>
      </c>
      <c r="G16" s="17"/>
      <c r="H16" s="17"/>
      <c r="I16" s="9">
        <f>IF(Select&gt;=1,SUM($G$16:$H$16),"")</f>
        <v>0</v>
      </c>
      <c r="J16" s="9">
        <f>IF(Select&gt;=1,IF((I16/F16&gt;=40%),E16,0),"")</f>
        <v>0</v>
      </c>
      <c r="K16" s="9">
        <f>IF(Select&gt;=1,IF(AND(I16&gt;0),Grade,""),"")</f>
      </c>
      <c r="M16" s="25">
        <f t="shared" si="0"/>
        <v>0</v>
      </c>
      <c r="N16" s="21" t="s">
        <v>13</v>
      </c>
    </row>
    <row r="17" spans="2:13" ht="16.5">
      <c r="B17" s="40"/>
      <c r="C17" s="9">
        <f>IF(Select&gt;=1,C16+1,"")</f>
        <v>9</v>
      </c>
      <c r="D17" s="16" t="s">
        <v>14</v>
      </c>
      <c r="E17" s="9">
        <f>IF(Select&gt;=1,4,"")</f>
        <v>4</v>
      </c>
      <c r="F17" s="9">
        <f>IF(Select&gt;=1,75,"")</f>
        <v>75</v>
      </c>
      <c r="G17" s="17"/>
      <c r="H17" s="17"/>
      <c r="I17" s="9">
        <f>IF(Select&gt;=1,SUM($G$17:$H$17),"")</f>
        <v>0</v>
      </c>
      <c r="J17" s="9">
        <f>IF(Select&gt;=1,IF((I17/F17&gt;=40%),E17,0),"")</f>
        <v>0</v>
      </c>
      <c r="K17" s="9">
        <f>IF(Select&gt;=1,IF(AND(I17&gt;0),Grade,""),"")</f>
      </c>
      <c r="M17" s="25">
        <f t="shared" si="0"/>
        <v>0</v>
      </c>
    </row>
    <row r="18" spans="2:13" ht="16.5">
      <c r="B18" s="40"/>
      <c r="C18" s="9">
        <f>IF(Select&gt;=1,C17+1,"")</f>
        <v>10</v>
      </c>
      <c r="D18" s="16" t="s">
        <v>24</v>
      </c>
      <c r="E18" s="9">
        <f>IF(Select&gt;=1,4,"")</f>
        <v>4</v>
      </c>
      <c r="F18" s="9">
        <f>IF(Select&gt;=1,75,"")</f>
        <v>75</v>
      </c>
      <c r="G18" s="17"/>
      <c r="H18" s="17"/>
      <c r="I18" s="9">
        <f>IF(Select&gt;=1,SUM($G$18:$H$18),"")</f>
        <v>0</v>
      </c>
      <c r="J18" s="9">
        <f>IF(Select&gt;=1,IF((I18/F18&gt;=40%),E18,0),"")</f>
        <v>0</v>
      </c>
      <c r="K18" s="9">
        <f>IF(Select&gt;=1,IF(AND(I18&gt;0),Grade,""),"")</f>
      </c>
      <c r="M18" s="25">
        <f t="shared" si="0"/>
        <v>0</v>
      </c>
    </row>
    <row r="19" spans="2:13" ht="16.5">
      <c r="B19" s="18" t="str">
        <f>IF(Select&gt;=1,"GPA","")</f>
        <v>GPA</v>
      </c>
      <c r="C19" s="9">
        <f>IF(Select&gt;=1,C18+1,"")</f>
        <v>11</v>
      </c>
      <c r="D19" s="16" t="s">
        <v>15</v>
      </c>
      <c r="E19" s="9">
        <f>IF(Select&gt;=1,4,"")</f>
        <v>4</v>
      </c>
      <c r="F19" s="9">
        <f>IF(Select&gt;=1,75,"")</f>
        <v>75</v>
      </c>
      <c r="G19" s="17"/>
      <c r="H19" s="17"/>
      <c r="I19" s="9">
        <f>IF(Select&gt;=1,SUM($G$19:$H$19),"")</f>
        <v>0</v>
      </c>
      <c r="J19" s="9">
        <f>IF(Select&gt;=1,IF((I19/F19&gt;=40%),E19,0),"")</f>
        <v>0</v>
      </c>
      <c r="K19" s="9">
        <f>IF(Select&gt;=1,IF(AND(I19&gt;0),Grade,""),"")</f>
      </c>
      <c r="M19" s="25">
        <f t="shared" si="0"/>
        <v>0</v>
      </c>
    </row>
    <row r="20" spans="2:14" s="8" customFormat="1" ht="16.5">
      <c r="B20" s="19">
        <f>IF(Select&gt;=1,SUM(M9:M19)/E20,"")</f>
        <v>0</v>
      </c>
      <c r="C20" s="10"/>
      <c r="D20" s="2" t="str">
        <f>IF(Select&gt;=1,"Total","")</f>
        <v>Total</v>
      </c>
      <c r="E20" s="10">
        <f>IF(Select&gt;=1,SUM($E$9:$E$19),"")</f>
        <v>50</v>
      </c>
      <c r="F20" s="10">
        <f>IF(Select&gt;=1,SUM($F$9:$F$19),"")</f>
        <v>1000</v>
      </c>
      <c r="G20" s="10">
        <f>IF(Select&gt;=1,SUM($G$9:$G$19),"")</f>
        <v>0</v>
      </c>
      <c r="H20" s="10">
        <f>IF(Select&gt;=1,SUM($H$9:$H$19),"")</f>
        <v>0</v>
      </c>
      <c r="I20" s="10">
        <f>IF(Select&gt;=1,SUM($I$9:$I$19),"")</f>
        <v>0</v>
      </c>
      <c r="J20" s="10">
        <f>IF(Select&gt;=1,SUM($J$9:$J$19),"")</f>
        <v>0</v>
      </c>
      <c r="K20" s="10" t="str">
        <f>IF(AND(Select&gt;=1),IF(AND(J20=E20),Grade,CONCATENATE(COUNTIF(K9:K19,"F")," Backlog(s)")),"")</f>
        <v>0 Backlog(s)</v>
      </c>
      <c r="M20" s="25"/>
      <c r="N20" s="22"/>
    </row>
    <row r="21" ht="16.5">
      <c r="E21" s="9"/>
    </row>
    <row r="22" spans="2:13" ht="16.5">
      <c r="B22" s="29">
        <f>IF(Select&gt;=2,I30/F30,"")</f>
      </c>
      <c r="C22" s="9">
        <f>IF(Select&gt;=2,1,"")</f>
      </c>
      <c r="D22" s="16" t="s">
        <v>28</v>
      </c>
      <c r="E22" s="9">
        <f>IF(Select&gt;=2,3,"")</f>
      </c>
      <c r="F22" s="9">
        <f>IF(Select&gt;=2,100,"")</f>
      </c>
      <c r="G22" s="17"/>
      <c r="H22" s="17"/>
      <c r="I22" s="9">
        <f>IF(Select&gt;=2,SUM($G$22:$H$22),"")</f>
      </c>
      <c r="J22" s="9">
        <f>IF(Select&gt;=2,IF((I22/F22&gt;=40%),E22,0),"")</f>
      </c>
      <c r="K22" s="9">
        <f>IF(Select&gt;=2,IF(AND(I22&gt;0),Grade,""),"")</f>
      </c>
      <c r="M22" s="25" t="e">
        <f>IF(AND(K22="A"),4,IF(AND(K22="B"),3,IF(AND(K22="C"),2,IF(AND(K22="D"),1,0))))*J22</f>
        <v>#VALUE!</v>
      </c>
    </row>
    <row r="23" spans="2:13" ht="16.5">
      <c r="B23" s="40">
        <f>IF(Select&gt;=2,"II-I Sem","")</f>
      </c>
      <c r="C23" s="9">
        <f>IF(Select&gt;=2,C22+1,"")</f>
      </c>
      <c r="D23" s="16" t="s">
        <v>29</v>
      </c>
      <c r="E23" s="9">
        <f>IF(Select&gt;=2,3,"")</f>
      </c>
      <c r="F23" s="9">
        <f>IF(Select&gt;=2,100,"")</f>
      </c>
      <c r="G23" s="17"/>
      <c r="H23" s="17"/>
      <c r="I23" s="9">
        <f>IF(Select&gt;=2,SUM($G$23:$H$23),"")</f>
      </c>
      <c r="J23" s="9">
        <f>IF(Select&gt;=2,IF((I23/F23&gt;=40%),E23,0),"")</f>
      </c>
      <c r="K23" s="9">
        <f>IF(Select&gt;=2,IF(AND(I23&gt;0),Grade,""),"")</f>
      </c>
      <c r="M23" s="25" t="e">
        <f aca="true" t="shared" si="1" ref="M23:M29">IF(AND(K23="A"),4,IF(AND(K23="B"),3,IF(AND(K23="C"),2,IF(AND(K23="D"),1,0))))*J23</f>
        <v>#VALUE!</v>
      </c>
    </row>
    <row r="24" spans="2:13" ht="16.5">
      <c r="B24" s="40"/>
      <c r="C24" s="9">
        <f>IF(Select&gt;=2,C23+1,"")</f>
      </c>
      <c r="D24" s="16" t="s">
        <v>30</v>
      </c>
      <c r="E24" s="9">
        <f>IF(Select&gt;=2,4,"")</f>
      </c>
      <c r="F24" s="9">
        <f>IF(Select&gt;=2,100,"")</f>
      </c>
      <c r="G24" s="17"/>
      <c r="H24" s="17"/>
      <c r="I24" s="9">
        <f>IF(Select&gt;=2,SUM($G$24:$H$24),"")</f>
      </c>
      <c r="J24" s="9">
        <f>IF(Select&gt;=2,IF((I24/F24&gt;=40%),E24,0),"")</f>
      </c>
      <c r="K24" s="9">
        <f>IF(Select&gt;=2,IF(AND(I24&gt;0),Grade,""),"")</f>
      </c>
      <c r="M24" s="25" t="e">
        <f t="shared" si="1"/>
        <v>#VALUE!</v>
      </c>
    </row>
    <row r="25" spans="2:13" ht="16.5">
      <c r="B25" s="40"/>
      <c r="C25" s="9">
        <f>IF(Select&gt;=2,C24+1,"")</f>
      </c>
      <c r="D25" s="16" t="s">
        <v>31</v>
      </c>
      <c r="E25" s="9">
        <f>IF(Select&gt;=2,4,"")</f>
      </c>
      <c r="F25" s="9">
        <f>IF(Select&gt;=2,100,"")</f>
      </c>
      <c r="G25" s="17"/>
      <c r="H25" s="17"/>
      <c r="I25" s="9">
        <f>IF(Select&gt;=2,SUM($G$25:$H$25),"")</f>
      </c>
      <c r="J25" s="9">
        <f>IF(Select&gt;=2,IF((I25/F25&gt;=40%),E25,0),"")</f>
      </c>
      <c r="K25" s="9">
        <f>IF(Select&gt;=2,IF(AND(I25&gt;0),Grade,""),"")</f>
      </c>
      <c r="M25" s="25" t="e">
        <f t="shared" si="1"/>
        <v>#VALUE!</v>
      </c>
    </row>
    <row r="26" spans="2:13" ht="16.5">
      <c r="B26" s="40"/>
      <c r="C26" s="9">
        <f>IF(Select&gt;=2,C25+1,"")</f>
      </c>
      <c r="D26" s="16" t="s">
        <v>32</v>
      </c>
      <c r="E26" s="9">
        <f>IF(Select&gt;=2,3,"")</f>
      </c>
      <c r="F26" s="9">
        <f>IF(Select&gt;=2,100,"")</f>
      </c>
      <c r="G26" s="17"/>
      <c r="H26" s="17"/>
      <c r="I26" s="9">
        <f>IF(Select&gt;=2,SUM($G$26:$H$26),"")</f>
      </c>
      <c r="J26" s="9">
        <f>IF(Select&gt;=2,IF((I26/F26&gt;=40%),E26,0),"")</f>
      </c>
      <c r="K26" s="9">
        <f>IF(Select&gt;=2,IF(AND(I26&gt;0),Grade,""),"")</f>
      </c>
      <c r="M26" s="25" t="e">
        <f t="shared" si="1"/>
        <v>#VALUE!</v>
      </c>
    </row>
    <row r="27" spans="2:13" ht="16.5">
      <c r="B27" s="40"/>
      <c r="C27" s="9">
        <f>IF(Select&gt;=2,C26+1,"")</f>
      </c>
      <c r="D27" s="16" t="s">
        <v>33</v>
      </c>
      <c r="E27" s="9">
        <f>IF(Select&gt;=2,4,"")</f>
      </c>
      <c r="F27" s="9">
        <f>IF(Select&gt;=2,100,"")</f>
      </c>
      <c r="G27" s="17"/>
      <c r="H27" s="17"/>
      <c r="I27" s="9">
        <f>IF(Select&gt;=2,SUM($G$27:$H$27),"")</f>
      </c>
      <c r="J27" s="9">
        <f>IF(Select&gt;=2,IF((I27/F27&gt;=40%),E27,0),"")</f>
      </c>
      <c r="K27" s="9">
        <f>IF(Select&gt;=2,IF(AND(I27&gt;0),Grade,""),"")</f>
      </c>
      <c r="M27" s="25" t="e">
        <f t="shared" si="1"/>
        <v>#VALUE!</v>
      </c>
    </row>
    <row r="28" spans="2:13" ht="16.5">
      <c r="B28" s="40"/>
      <c r="C28" s="9">
        <f>IF(Select&gt;=2,C27+1,"")</f>
      </c>
      <c r="D28" s="16" t="s">
        <v>34</v>
      </c>
      <c r="E28" s="9">
        <f>IF(Select&gt;=2,2,"")</f>
      </c>
      <c r="F28" s="9">
        <f>IF(Select&gt;=2,75,"")</f>
      </c>
      <c r="G28" s="17"/>
      <c r="H28" s="17"/>
      <c r="I28" s="9">
        <f>IF(Select&gt;=2,SUM($G$28:$H$28),"")</f>
      </c>
      <c r="J28" s="9">
        <f>IF(Select&gt;=2,IF((I28/F28&gt;=40%),E28,0),"")</f>
      </c>
      <c r="K28" s="9">
        <f>IF(Select&gt;=2,IF(AND(I28&gt;0),Grade,""),"")</f>
      </c>
      <c r="M28" s="25" t="e">
        <f t="shared" si="1"/>
        <v>#VALUE!</v>
      </c>
    </row>
    <row r="29" spans="2:13" ht="16.5">
      <c r="B29" s="18">
        <f>IF(Select&gt;=2,"GPA","")</f>
      </c>
      <c r="C29" s="9">
        <f>IF(Select&gt;=2,C28+1,"")</f>
      </c>
      <c r="D29" s="16" t="s">
        <v>35</v>
      </c>
      <c r="E29" s="9">
        <f>IF(Select&gt;=2,2,"")</f>
      </c>
      <c r="F29" s="9">
        <f>IF(Select&gt;=2,75,"")</f>
      </c>
      <c r="G29" s="17"/>
      <c r="H29" s="17"/>
      <c r="I29" s="9">
        <f>IF(Select&gt;=2,SUM($G$29:$H$29),"")</f>
      </c>
      <c r="J29" s="9">
        <f>IF(Select&gt;=2,IF((I29/F29&gt;=40%),E29,0),"")</f>
      </c>
      <c r="K29" s="9">
        <f>IF(Select&gt;=2,IF(AND(I29&gt;0),Grade,""),"")</f>
      </c>
      <c r="M29" s="25" t="e">
        <f t="shared" si="1"/>
        <v>#VALUE!</v>
      </c>
    </row>
    <row r="30" spans="2:14" s="8" customFormat="1" ht="16.5">
      <c r="B30" s="19">
        <f>IF(Select&gt;=2,SUM(M22:M29)/E30,"")</f>
      </c>
      <c r="C30" s="10"/>
      <c r="D30" s="2">
        <f>IF(Select&gt;=2,"Total","")</f>
      </c>
      <c r="E30" s="10">
        <f>IF(Select&gt;=2,SUM($E$22:$E$29),"")</f>
      </c>
      <c r="F30" s="10">
        <f>IF(Select&gt;=2,SUM($F$22:$F$29),"")</f>
      </c>
      <c r="G30" s="10">
        <f>IF(Select&gt;=2,SUM($G$22:$G$29),"")</f>
      </c>
      <c r="H30" s="10">
        <f>IF(Select&gt;=2,SUM($H$22:$H$29),"")</f>
      </c>
      <c r="I30" s="10">
        <f>IF(Select&gt;=2,SUM($I$22:$I$29),"")</f>
      </c>
      <c r="J30" s="10">
        <f>IF(Select&gt;=2,SUM($J$22:$J$29),"")</f>
      </c>
      <c r="K30" s="10">
        <f>IF(AND(Select&gt;=2),IF(AND(J30=E30),Grade,CONCATENATE(COUNTIF(K22:K29,"F")," Backlog(s)")),"")</f>
      </c>
      <c r="M30" s="25"/>
      <c r="N30" s="22"/>
    </row>
    <row r="32" spans="2:13" ht="16.5">
      <c r="B32" s="29">
        <f>IF(Select&gt;=3,I40/F40,"")</f>
      </c>
      <c r="C32" s="9">
        <f>IF(Select&gt;=3,1,"")</f>
      </c>
      <c r="D32" s="16" t="s">
        <v>36</v>
      </c>
      <c r="E32" s="9">
        <f>IF(Select&gt;=3,4,"")</f>
      </c>
      <c r="F32" s="9">
        <f>IF(Select&gt;=3,100,"")</f>
      </c>
      <c r="G32" s="17"/>
      <c r="H32" s="17"/>
      <c r="I32" s="9">
        <f>IF(Select&gt;=3,SUM($G$32:$H$32),"")</f>
      </c>
      <c r="J32" s="9">
        <f>IF(Select&gt;=3,IF((I32/F32&gt;=40%),E32,0),"")</f>
      </c>
      <c r="K32" s="9">
        <f>IF(Select&gt;=3,IF(AND(I32&gt;0),Grade,""),"")</f>
      </c>
      <c r="M32" s="25" t="e">
        <f aca="true" t="shared" si="2" ref="M32:M39">IF(AND(K32="A"),4,IF(AND(K32="B"),3,IF(AND(K32="C"),2,IF(AND(K32="D"),1,0))))*J32</f>
        <v>#VALUE!</v>
      </c>
    </row>
    <row r="33" spans="2:13" ht="15" customHeight="1">
      <c r="B33" s="40">
        <f>IF(Select&gt;=3,"II-II Sem","")</f>
      </c>
      <c r="C33" s="9">
        <f>IF(Select&gt;=3,C32+1,"")</f>
      </c>
      <c r="D33" s="16" t="s">
        <v>37</v>
      </c>
      <c r="E33" s="9">
        <f>IF(Select&gt;=3,4,"")</f>
      </c>
      <c r="F33" s="9">
        <f>IF(Select&gt;=3,100,"")</f>
      </c>
      <c r="G33" s="17"/>
      <c r="H33" s="17"/>
      <c r="I33" s="9">
        <f>IF(Select&gt;=3,SUM($G$33:$H$33),"")</f>
      </c>
      <c r="J33" s="9">
        <f>IF(Select&gt;=3,IF((I33/F33&gt;=40%),E33,0),"")</f>
      </c>
      <c r="K33" s="9">
        <f>IF(Select&gt;=3,IF(AND(I33&gt;0),Grade,""),"")</f>
      </c>
      <c r="M33" s="25" t="e">
        <f t="shared" si="2"/>
        <v>#VALUE!</v>
      </c>
    </row>
    <row r="34" spans="2:13" ht="16.5">
      <c r="B34" s="40"/>
      <c r="C34" s="9">
        <f>IF(Select&gt;=3,C33+1,"")</f>
      </c>
      <c r="D34" s="16" t="s">
        <v>38</v>
      </c>
      <c r="E34" s="9">
        <f>IF(Select&gt;=3,4,"")</f>
      </c>
      <c r="F34" s="9">
        <f>IF(Select&gt;=3,100,"")</f>
      </c>
      <c r="G34" s="17"/>
      <c r="H34" s="17"/>
      <c r="I34" s="9">
        <f>IF(Select&gt;=3,SUM($G$34:$H$34),"")</f>
      </c>
      <c r="J34" s="9">
        <f>IF(Select&gt;=3,IF((I34/F34&gt;=40%),E34,0),"")</f>
      </c>
      <c r="K34" s="9">
        <f>IF(Select&gt;=3,IF(AND(I34&gt;0),Grade,""),"")</f>
      </c>
      <c r="M34" s="25" t="e">
        <f t="shared" si="2"/>
        <v>#VALUE!</v>
      </c>
    </row>
    <row r="35" spans="2:13" ht="16.5">
      <c r="B35" s="40"/>
      <c r="C35" s="9">
        <f>IF(Select&gt;=3,C34+1,"")</f>
      </c>
      <c r="D35" s="16" t="s">
        <v>39</v>
      </c>
      <c r="E35" s="9">
        <f>IF(Select&gt;=3,3,"")</f>
      </c>
      <c r="F35" s="9">
        <f>IF(Select&gt;=3,100,"")</f>
      </c>
      <c r="G35" s="17"/>
      <c r="H35" s="17"/>
      <c r="I35" s="9">
        <f>IF(Select&gt;=3,SUM($G$35:$H$35),"")</f>
      </c>
      <c r="J35" s="9">
        <f>IF(Select&gt;=3,IF((I35/F35&gt;=40%),E35,0),"")</f>
      </c>
      <c r="K35" s="9">
        <f>IF(Select&gt;=3,IF(AND(I35&gt;0),Grade,""),"")</f>
      </c>
      <c r="M35" s="25" t="e">
        <f t="shared" si="2"/>
        <v>#VALUE!</v>
      </c>
    </row>
    <row r="36" spans="2:13" ht="16.5">
      <c r="B36" s="40"/>
      <c r="C36" s="9">
        <f>IF(Select&gt;=3,C35+1,"")</f>
      </c>
      <c r="D36" s="16" t="s">
        <v>40</v>
      </c>
      <c r="E36" s="9">
        <f>IF(Select&gt;=3,3,"")</f>
      </c>
      <c r="F36" s="9">
        <f>IF(Select&gt;=3,100,"")</f>
      </c>
      <c r="G36" s="17"/>
      <c r="H36" s="17"/>
      <c r="I36" s="9">
        <f>IF(Select&gt;=3,SUM($G$36:$H$36),"")</f>
      </c>
      <c r="J36" s="9">
        <f>IF(Select&gt;=3,IF((I36/F36&gt;=40%),E36,0),"")</f>
      </c>
      <c r="K36" s="9">
        <f>IF(Select&gt;=3,IF(AND(I36&gt;0),Grade,""),"")</f>
      </c>
      <c r="M36" s="25" t="e">
        <f t="shared" si="2"/>
        <v>#VALUE!</v>
      </c>
    </row>
    <row r="37" spans="2:13" ht="16.5">
      <c r="B37" s="40"/>
      <c r="C37" s="9">
        <f>IF(Select&gt;=3,C36+1,"")</f>
      </c>
      <c r="D37" s="16" t="s">
        <v>41</v>
      </c>
      <c r="E37" s="9">
        <f>IF(Select&gt;=3,3,"")</f>
      </c>
      <c r="F37" s="9">
        <f>IF(Select&gt;=3,100,"")</f>
      </c>
      <c r="G37" s="17"/>
      <c r="H37" s="17"/>
      <c r="I37" s="9">
        <f>IF(Select&gt;=3,SUM($G$37:$H$37),"")</f>
      </c>
      <c r="J37" s="9">
        <f>IF(Select&gt;=3,IF((I37/F37&gt;=40%),E37,0),"")</f>
      </c>
      <c r="K37" s="9">
        <f>IF(Select&gt;=3,IF(AND(I37&gt;0),Grade,""),"")</f>
      </c>
      <c r="M37" s="25" t="e">
        <f t="shared" si="2"/>
        <v>#VALUE!</v>
      </c>
    </row>
    <row r="38" spans="2:13" ht="16.5">
      <c r="B38" s="40"/>
      <c r="C38" s="9">
        <f>IF(Select&gt;=3,C37+1,"")</f>
      </c>
      <c r="D38" s="16" t="s">
        <v>42</v>
      </c>
      <c r="E38" s="9">
        <f>IF(Select&gt;=3,2,"")</f>
      </c>
      <c r="F38" s="9">
        <f>IF(Select&gt;=3,75,"")</f>
      </c>
      <c r="G38" s="17"/>
      <c r="H38" s="17"/>
      <c r="I38" s="9">
        <f>IF(Select&gt;=3,SUM($G$38:$H$38),"")</f>
      </c>
      <c r="J38" s="9">
        <f>IF(Select&gt;=3,IF((I38/F38&gt;=40%),E38,0),"")</f>
      </c>
      <c r="K38" s="9">
        <f>IF(Select&gt;=3,IF(AND(I38&gt;0),Grade,""),"")</f>
      </c>
      <c r="M38" s="25" t="e">
        <f t="shared" si="2"/>
        <v>#VALUE!</v>
      </c>
    </row>
    <row r="39" spans="2:13" ht="16.5">
      <c r="B39" s="18">
        <f>IF(Select&gt;=3,"GPA","")</f>
      </c>
      <c r="C39" s="9">
        <f>IF(Select&gt;=3,C38+1,"")</f>
      </c>
      <c r="D39" s="16" t="s">
        <v>43</v>
      </c>
      <c r="E39" s="9">
        <f>IF(Select&gt;=3,2,"")</f>
      </c>
      <c r="F39" s="9">
        <f>IF(Select&gt;=3,75,"")</f>
      </c>
      <c r="G39" s="17"/>
      <c r="H39" s="17"/>
      <c r="I39" s="9">
        <f>IF(Select&gt;=3,SUM($G$39:$H$39),"")</f>
      </c>
      <c r="J39" s="9">
        <f>IF(Select&gt;=3,IF((I39/F39&gt;=40%),E39,0),"")</f>
      </c>
      <c r="K39" s="9">
        <f>IF(Select&gt;=3,IF(AND(I39&gt;0),Grade,""),"")</f>
      </c>
      <c r="M39" s="25" t="e">
        <f t="shared" si="2"/>
        <v>#VALUE!</v>
      </c>
    </row>
    <row r="40" spans="2:14" s="8" customFormat="1" ht="16.5">
      <c r="B40" s="19">
        <f>IF(Select&gt;=3,SUM(M32:M39)/E40,"")</f>
      </c>
      <c r="C40" s="10"/>
      <c r="D40" s="2">
        <f>IF(Select&gt;=3,"Total","")</f>
      </c>
      <c r="E40" s="10">
        <f>IF(Select&gt;=3,SUM($E$32:$E$39),"")</f>
      </c>
      <c r="F40" s="10">
        <f>IF(Select&gt;=3,SUM($F$32:$F$39),"")</f>
      </c>
      <c r="G40" s="10">
        <f>IF(Select&gt;=3,SUM($G$32:$G$39),"")</f>
      </c>
      <c r="H40" s="10">
        <f>IF(Select&gt;=3,SUM($H$32:$H$39),"")</f>
      </c>
      <c r="I40" s="10">
        <f>IF(Select&gt;=3,SUM($I$32:$I$39),"")</f>
      </c>
      <c r="J40" s="10">
        <f>IF(Select&gt;=3,SUM($J$32:$J$39),"")</f>
      </c>
      <c r="K40" s="10">
        <f>IF(AND(Select&gt;=3),IF(AND(J40=E40),Grade,CONCATENATE(COUNTIF(K32:K39,"F")," Backlog(s)")),"")</f>
      </c>
      <c r="M40" s="25"/>
      <c r="N40" s="22"/>
    </row>
    <row r="42" spans="2:13" ht="16.5">
      <c r="B42" s="29">
        <f>IF(Select&gt;=4,I50/F50,"")</f>
      </c>
      <c r="C42" s="9">
        <f>IF(Select&gt;=4,1,"")</f>
      </c>
      <c r="D42" s="16" t="s">
        <v>44</v>
      </c>
      <c r="E42" s="9">
        <f>IF(Select&gt;=4,3,"")</f>
      </c>
      <c r="F42" s="9">
        <f>IF(Select&gt;=4,100,"")</f>
      </c>
      <c r="G42" s="17"/>
      <c r="H42" s="17"/>
      <c r="I42" s="9">
        <f>IF(Select&gt;=4,SUM($G$42:$H$42),"")</f>
      </c>
      <c r="J42" s="9">
        <f>IF(Select&gt;=4,IF((I42/F42&gt;=40%),E42,0),"")</f>
      </c>
      <c r="K42" s="9">
        <f>IF(Select&gt;=4,IF(AND(I42&gt;0),Grade,""),"")</f>
      </c>
      <c r="M42" s="25" t="e">
        <f aca="true" t="shared" si="3" ref="M42:M49">IF(AND(K42="A"),4,IF(AND(K42="B"),3,IF(AND(K42="C"),2,IF(AND(K42="D"),1,0))))*J42</f>
        <v>#VALUE!</v>
      </c>
    </row>
    <row r="43" spans="2:13" ht="16.5">
      <c r="B43" s="41">
        <f>IF(Select&gt;=4,"III-I Sem","")</f>
      </c>
      <c r="C43" s="9">
        <f>IF(Select&gt;=4,C42+1,"")</f>
      </c>
      <c r="D43" s="16" t="s">
        <v>45</v>
      </c>
      <c r="E43" s="9">
        <f>IF(Select&gt;=4,3,"")</f>
      </c>
      <c r="F43" s="9">
        <f>IF(Select&gt;=4,100,"")</f>
      </c>
      <c r="G43" s="17"/>
      <c r="H43" s="17"/>
      <c r="I43" s="9">
        <f>IF(Select&gt;=4,SUM($G$43:$H$43),"")</f>
      </c>
      <c r="J43" s="9">
        <f>IF(Select&gt;=4,IF((I43/F43&gt;=40%),E43,0),"")</f>
      </c>
      <c r="K43" s="9">
        <f>IF(Select&gt;=4,IF(AND(I43&gt;0),Grade,""),"")</f>
      </c>
      <c r="M43" s="25" t="e">
        <f t="shared" si="3"/>
        <v>#VALUE!</v>
      </c>
    </row>
    <row r="44" spans="2:13" ht="16.5">
      <c r="B44" s="42"/>
      <c r="C44" s="9">
        <f>IF(Select&gt;=4,C43+1,"")</f>
      </c>
      <c r="D44" s="16" t="s">
        <v>46</v>
      </c>
      <c r="E44" s="9">
        <f>IF(Select&gt;=4,3,"")</f>
      </c>
      <c r="F44" s="9">
        <f>IF(Select&gt;=4,100,"")</f>
      </c>
      <c r="G44" s="17"/>
      <c r="H44" s="17"/>
      <c r="I44" s="9">
        <f>IF(Select&gt;=4,SUM($G$44:$H$44),"")</f>
      </c>
      <c r="J44" s="9">
        <f>IF(Select&gt;=4,IF((I44/F44&gt;=40%),E44,0),"")</f>
      </c>
      <c r="K44" s="9">
        <f>IF(Select&gt;=4,IF(AND(I44&gt;0),Grade,""),"")</f>
      </c>
      <c r="M44" s="25" t="e">
        <f t="shared" si="3"/>
        <v>#VALUE!</v>
      </c>
    </row>
    <row r="45" spans="2:13" ht="16.5">
      <c r="B45" s="42"/>
      <c r="C45" s="9">
        <f>IF(Select&gt;=4,C44+1,"")</f>
      </c>
      <c r="D45" s="16" t="s">
        <v>47</v>
      </c>
      <c r="E45" s="9">
        <f>IF(Select&gt;=4,4,"")</f>
      </c>
      <c r="F45" s="9">
        <f>IF(Select&gt;=4,100,"")</f>
      </c>
      <c r="G45" s="17"/>
      <c r="H45" s="17"/>
      <c r="I45" s="9">
        <f>IF(Select&gt;=4,SUM($G$45:$H$45),"")</f>
      </c>
      <c r="J45" s="9">
        <f>IF(Select&gt;=4,IF((I45/F45&gt;=40%),E45,0),"")</f>
      </c>
      <c r="K45" s="9">
        <f>IF(Select&gt;=4,IF(AND(I45&gt;0),Grade,""),"")</f>
      </c>
      <c r="M45" s="25" t="e">
        <f t="shared" si="3"/>
        <v>#VALUE!</v>
      </c>
    </row>
    <row r="46" spans="2:13" ht="16.5">
      <c r="B46" s="42"/>
      <c r="C46" s="9">
        <f>IF(Select&gt;=4,C45+1,"")</f>
      </c>
      <c r="D46" s="16" t="s">
        <v>48</v>
      </c>
      <c r="E46" s="9">
        <f>IF(Select&gt;=4,4,"")</f>
      </c>
      <c r="F46" s="9">
        <f>IF(Select&gt;=4,100,"")</f>
      </c>
      <c r="G46" s="17"/>
      <c r="H46" s="17"/>
      <c r="I46" s="9">
        <f>IF(Select&gt;=4,SUM($G$46:$H$46),"")</f>
      </c>
      <c r="J46" s="9">
        <f>IF(Select&gt;=4,IF((I46/F46&gt;=40%),E46,0),"")</f>
      </c>
      <c r="K46" s="9">
        <f>IF(Select&gt;=4,IF(AND(I46&gt;0),Grade,""),"")</f>
      </c>
      <c r="M46" s="25" t="e">
        <f t="shared" si="3"/>
        <v>#VALUE!</v>
      </c>
    </row>
    <row r="47" spans="2:13" ht="16.5">
      <c r="B47" s="42"/>
      <c r="C47" s="9">
        <f>IF(Select&gt;=4,C46+1,"")</f>
      </c>
      <c r="D47" s="16" t="s">
        <v>49</v>
      </c>
      <c r="E47" s="9">
        <f>IF(Select&gt;=4,4,"")</f>
      </c>
      <c r="F47" s="9">
        <f>IF(Select&gt;=4,100,"")</f>
      </c>
      <c r="G47" s="17"/>
      <c r="H47" s="17"/>
      <c r="I47" s="9">
        <f>IF(Select&gt;=4,SUM($G$47:$H$47),"")</f>
      </c>
      <c r="J47" s="9">
        <f>IF(Select&gt;=4,IF((I47/F47&gt;=40%),E47,0),"")</f>
      </c>
      <c r="K47" s="9">
        <f>IF(Select&gt;=4,IF(AND(I47&gt;0),Grade,""),"")</f>
      </c>
      <c r="M47" s="25" t="e">
        <f t="shared" si="3"/>
        <v>#VALUE!</v>
      </c>
    </row>
    <row r="48" spans="2:13" ht="16.5">
      <c r="B48" s="42"/>
      <c r="C48" s="9">
        <f>IF(Select&gt;=4,C47+1,"")</f>
      </c>
      <c r="D48" s="16" t="s">
        <v>50</v>
      </c>
      <c r="E48" s="9">
        <f>IF(Select&gt;=4,2,"")</f>
      </c>
      <c r="F48" s="9">
        <f>IF(Select&gt;=4,75,"")</f>
      </c>
      <c r="G48" s="17"/>
      <c r="H48" s="17"/>
      <c r="I48" s="9">
        <f>IF(Select&gt;=4,SUM($G$48:$H$48),"")</f>
      </c>
      <c r="J48" s="9">
        <f>IF(Select&gt;=4,IF((I48/F48&gt;=40%),E48,0),"")</f>
      </c>
      <c r="K48" s="9">
        <f>IF(Select&gt;=4,IF(AND(I48&gt;0),Grade,""),"")</f>
      </c>
      <c r="M48" s="25" t="e">
        <f t="shared" si="3"/>
        <v>#VALUE!</v>
      </c>
    </row>
    <row r="49" spans="2:13" ht="16.5">
      <c r="B49" s="18">
        <f>IF(Select&gt;=4,"GPA","")</f>
      </c>
      <c r="C49" s="9">
        <f>IF(Select&gt;=4,C48+1,"")</f>
      </c>
      <c r="D49" s="16" t="s">
        <v>51</v>
      </c>
      <c r="E49" s="9">
        <f>IF(Select&gt;=4,2,"")</f>
      </c>
      <c r="F49" s="9">
        <f>IF(Select&gt;=4,75,"")</f>
      </c>
      <c r="G49" s="17"/>
      <c r="H49" s="17"/>
      <c r="I49" s="9">
        <f>IF(Select&gt;=4,SUM($G$49:$H$49),"")</f>
      </c>
      <c r="J49" s="9">
        <f>IF(Select&gt;=4,IF((I49/F49&gt;=40%),E49,0),"")</f>
      </c>
      <c r="K49" s="9">
        <f>IF(Select&gt;=4,IF(AND(I49&gt;0),Grade,""),"")</f>
      </c>
      <c r="M49" s="25" t="e">
        <f t="shared" si="3"/>
        <v>#VALUE!</v>
      </c>
    </row>
    <row r="50" spans="2:14" s="8" customFormat="1" ht="16.5">
      <c r="B50" s="19">
        <f>IF(Select&gt;=4,SUM(M42:M49)/E50,"")</f>
      </c>
      <c r="C50" s="10"/>
      <c r="D50" s="2">
        <f>IF(Select&gt;=4,"Total","")</f>
      </c>
      <c r="E50" s="10">
        <f>IF(Select&gt;=4,SUM($E$42:$E$49),"")</f>
      </c>
      <c r="F50" s="10">
        <f>IF(Select&gt;=4,SUM($F$42:$F$49),"")</f>
      </c>
      <c r="G50" s="10">
        <f>IF(Select&gt;=4,SUM($G$42:$G$49),"")</f>
      </c>
      <c r="H50" s="10">
        <f>IF(Select&gt;=4,SUM($H$42:$H$49),"")</f>
      </c>
      <c r="I50" s="10">
        <f>IF(Select&gt;=4,SUM($I$42:$I$49),"")</f>
      </c>
      <c r="J50" s="10">
        <f>IF(Select&gt;=4,SUM($J$42:$J$49),"")</f>
      </c>
      <c r="K50" s="10">
        <f>IF(AND(Select&gt;=4),IF(AND(J50=E50),Grade,CONCATENATE(COUNTIF(K42:K49,"F")," Backlog(s)")),"")</f>
      </c>
      <c r="M50" s="25"/>
      <c r="N50" s="22"/>
    </row>
    <row r="52" spans="2:13" ht="16.5">
      <c r="B52" s="29">
        <f>IF(Select&gt;=5,I60/F60,"")</f>
      </c>
      <c r="C52" s="9">
        <f>IF(Select&gt;=5,1,"")</f>
      </c>
      <c r="D52" s="16" t="s">
        <v>52</v>
      </c>
      <c r="E52" s="9">
        <f>IF(Select&gt;=5,4,"")</f>
      </c>
      <c r="F52" s="9">
        <f>IF(Select&gt;=5,100,"")</f>
      </c>
      <c r="G52" s="17"/>
      <c r="H52" s="17"/>
      <c r="I52" s="9">
        <f>IF(Select&gt;=5,SUM($G$52:$H$52),"")</f>
      </c>
      <c r="J52" s="9">
        <f>IF(Select&gt;=5,IF((I52/F52&gt;=40%),E52,0),"")</f>
      </c>
      <c r="K52" s="9">
        <f>IF(Select&gt;=5,IF(AND(I52&gt;0),Grade,""),"")</f>
      </c>
      <c r="M52" s="25" t="e">
        <f aca="true" t="shared" si="4" ref="M52:M59">IF(AND(K52="A"),4,IF(AND(K52="B"),3,IF(AND(K52="C"),2,IF(AND(K52="D"),1,0))))*J52</f>
        <v>#VALUE!</v>
      </c>
    </row>
    <row r="53" spans="2:13" ht="16.5">
      <c r="B53" s="40">
        <f>IF(Select&gt;=5,"III-II Sem","")</f>
      </c>
      <c r="C53" s="9">
        <f>IF(Select&gt;=5,C52+1,"")</f>
      </c>
      <c r="D53" s="16" t="s">
        <v>53</v>
      </c>
      <c r="E53" s="9">
        <f>IF(Select&gt;=5,3,"")</f>
      </c>
      <c r="F53" s="9">
        <f>IF(Select&gt;=5,100,"")</f>
      </c>
      <c r="G53" s="17"/>
      <c r="H53" s="17"/>
      <c r="I53" s="9">
        <f>IF(Select&gt;=5,SUM($G$53:$H$53),"")</f>
      </c>
      <c r="J53" s="9">
        <f>IF(Select&gt;=5,IF((I53/F53&gt;=40%),E53,0),"")</f>
      </c>
      <c r="K53" s="9">
        <f>IF(Select&gt;=5,IF(AND(I53&gt;0),Grade,""),"")</f>
      </c>
      <c r="M53" s="25" t="e">
        <f t="shared" si="4"/>
        <v>#VALUE!</v>
      </c>
    </row>
    <row r="54" spans="2:13" ht="16.5">
      <c r="B54" s="40"/>
      <c r="C54" s="9">
        <f>IF(Select&gt;=5,C53+1,"")</f>
      </c>
      <c r="D54" s="16" t="s">
        <v>54</v>
      </c>
      <c r="E54" s="9">
        <f>IF(Select&gt;=5,3,"")</f>
      </c>
      <c r="F54" s="9">
        <f>IF(Select&gt;=5,100,"")</f>
      </c>
      <c r="G54" s="17"/>
      <c r="H54" s="17"/>
      <c r="I54" s="9">
        <f>IF(Select&gt;=5,SUM($G$54:$H$54),"")</f>
      </c>
      <c r="J54" s="9">
        <f>IF(Select&gt;=5,IF((I54/F54&gt;=40%),E54,0),"")</f>
      </c>
      <c r="K54" s="9">
        <f>IF(Select&gt;=5,IF(AND(I54&gt;0),Grade,""),"")</f>
      </c>
      <c r="M54" s="25" t="e">
        <f t="shared" si="4"/>
        <v>#VALUE!</v>
      </c>
    </row>
    <row r="55" spans="2:13" ht="16.5">
      <c r="B55" s="40"/>
      <c r="C55" s="9">
        <f>IF(Select&gt;=5,C54+1,"")</f>
      </c>
      <c r="D55" s="16" t="s">
        <v>55</v>
      </c>
      <c r="E55" s="9">
        <f>IF(Select&gt;=5,4,"")</f>
      </c>
      <c r="F55" s="9">
        <f>IF(Select&gt;=5,100,"")</f>
      </c>
      <c r="G55" s="17"/>
      <c r="H55" s="17"/>
      <c r="I55" s="9">
        <f>IF(Select&gt;=5,SUM($G$55:$H$55),"")</f>
      </c>
      <c r="J55" s="9">
        <f>IF(Select&gt;=5,IF((I55/F55&gt;=40%),E55,0),"")</f>
      </c>
      <c r="K55" s="9">
        <f>IF(Select&gt;=5,IF(AND(I55&gt;0),Grade,""),"")</f>
      </c>
      <c r="M55" s="25" t="e">
        <f t="shared" si="4"/>
        <v>#VALUE!</v>
      </c>
    </row>
    <row r="56" spans="2:13" ht="16.5">
      <c r="B56" s="40"/>
      <c r="C56" s="9">
        <f>IF(Select&gt;=5,C55+1,"")</f>
      </c>
      <c r="D56" s="16" t="s">
        <v>56</v>
      </c>
      <c r="E56" s="9">
        <f>IF(Select&gt;=5,4,"")</f>
      </c>
      <c r="F56" s="9">
        <f>IF(Select&gt;=5,100,"")</f>
      </c>
      <c r="G56" s="17"/>
      <c r="H56" s="17"/>
      <c r="I56" s="9">
        <f>IF(Select&gt;=5,SUM($G$56:$H$56),"")</f>
      </c>
      <c r="J56" s="9">
        <f>IF(Select&gt;=5,IF((I56/F56&gt;=40%),E56,0),"")</f>
      </c>
      <c r="K56" s="9">
        <f>IF(Select&gt;=5,IF(AND(I56&gt;0),Grade,""),"")</f>
      </c>
      <c r="M56" s="25" t="e">
        <f t="shared" si="4"/>
        <v>#VALUE!</v>
      </c>
    </row>
    <row r="57" spans="2:13" ht="16.5">
      <c r="B57" s="40"/>
      <c r="C57" s="9">
        <f>IF(Select&gt;=5,C56+1,"")</f>
      </c>
      <c r="D57" s="16" t="s">
        <v>57</v>
      </c>
      <c r="E57" s="9">
        <f>IF(Select&gt;=5,3,"")</f>
      </c>
      <c r="F57" s="9">
        <f>IF(Select&gt;=5,100,"")</f>
      </c>
      <c r="G57" s="17"/>
      <c r="H57" s="17"/>
      <c r="I57" s="9">
        <f>IF(Select&gt;=5,SUM($G$57:$H$57),"")</f>
      </c>
      <c r="J57" s="9">
        <f>IF(Select&gt;=5,IF((I57/F57&gt;=40%),E57,0),"")</f>
      </c>
      <c r="K57" s="9">
        <f>IF(Select&gt;=5,IF(AND(I57&gt;0),Grade,""),"")</f>
      </c>
      <c r="M57" s="25" t="e">
        <f t="shared" si="4"/>
        <v>#VALUE!</v>
      </c>
    </row>
    <row r="58" spans="2:13" ht="16.5">
      <c r="B58" s="40"/>
      <c r="C58" s="9">
        <f>IF(Select&gt;=5,C57+1,"")</f>
      </c>
      <c r="D58" s="16" t="s">
        <v>58</v>
      </c>
      <c r="E58" s="9">
        <f>IF(Select&gt;=5,2,"")</f>
      </c>
      <c r="F58" s="9">
        <f>IF(Select&gt;=5,75,"")</f>
      </c>
      <c r="G58" s="17"/>
      <c r="H58" s="17"/>
      <c r="I58" s="9">
        <f>IF(Select&gt;=5,SUM($G$58:$H$58),"")</f>
      </c>
      <c r="J58" s="9">
        <f>IF(Select&gt;=5,IF((I58/F58&gt;=40%),E58,0),"")</f>
      </c>
      <c r="K58" s="9">
        <f>IF(Select&gt;=5,IF(AND(I58&gt;0),Grade,""),"")</f>
      </c>
      <c r="M58" s="25" t="e">
        <f t="shared" si="4"/>
        <v>#VALUE!</v>
      </c>
    </row>
    <row r="59" spans="2:13" ht="16.5">
      <c r="B59" s="18">
        <f>IF(Select&gt;=5,"GPA","")</f>
      </c>
      <c r="C59" s="9">
        <f>IF(Select&gt;=5,C58+1,"")</f>
      </c>
      <c r="D59" s="16" t="s">
        <v>59</v>
      </c>
      <c r="E59" s="9">
        <f>IF(Select&gt;=5,2,"")</f>
      </c>
      <c r="F59" s="9">
        <f>IF(Select&gt;=5,75,"")</f>
      </c>
      <c r="G59" s="17"/>
      <c r="H59" s="17"/>
      <c r="I59" s="9">
        <f>IF(Select&gt;=5,SUM($G$59:$H$59),"")</f>
      </c>
      <c r="J59" s="9">
        <f>IF(Select&gt;=5,IF((I59/F59&gt;=40%),E59,0),"")</f>
      </c>
      <c r="K59" s="9">
        <f>IF(Select&gt;=5,IF(AND(I59&gt;0),Grade,""),"")</f>
      </c>
      <c r="M59" s="25" t="e">
        <f t="shared" si="4"/>
        <v>#VALUE!</v>
      </c>
    </row>
    <row r="60" spans="2:14" s="8" customFormat="1" ht="16.5">
      <c r="B60" s="19">
        <f>IF(Select&gt;=5,SUM(M52:M59)/E60,"")</f>
      </c>
      <c r="C60" s="10"/>
      <c r="D60" s="2">
        <f>IF(Select&gt;=5,"Total","")</f>
      </c>
      <c r="E60" s="10">
        <f>IF(Select&gt;=5,SUM($E$52:$E$59),"")</f>
      </c>
      <c r="F60" s="10">
        <f>IF(Select&gt;=5,SUM($F$52:$F$59),"")</f>
      </c>
      <c r="G60" s="10">
        <f>IF(Select&gt;=5,SUM($G$52:$G$59),"")</f>
      </c>
      <c r="H60" s="10">
        <f>IF(Select&gt;=5,SUM($H$52:$H$59),"")</f>
      </c>
      <c r="I60" s="10">
        <f>IF(Select&gt;=5,SUM($I$52:$I$59),"")</f>
      </c>
      <c r="J60" s="10">
        <f>IF(Select&gt;=5,SUM($J$52:$J$59),"")</f>
      </c>
      <c r="K60" s="10">
        <f>IF(AND(Select&gt;=5),IF(AND(J60=E60),Grade,CONCATENATE(COUNTIF(K52:K59,"F")," Backlog(s)")),"")</f>
      </c>
      <c r="M60" s="25"/>
      <c r="N60" s="22"/>
    </row>
    <row r="62" spans="2:13" ht="16.5">
      <c r="B62" s="29">
        <f>IF(Select&gt;=6,I70/F70,"")</f>
      </c>
      <c r="C62" s="9">
        <f>IF(Select&gt;=6,1,"")</f>
      </c>
      <c r="D62" s="16" t="s">
        <v>60</v>
      </c>
      <c r="E62" s="9">
        <f>IF(Select&gt;=6,3,"")</f>
      </c>
      <c r="F62" s="9">
        <f>IF(Select&gt;=6,100,"")</f>
      </c>
      <c r="G62" s="17"/>
      <c r="H62" s="17"/>
      <c r="I62" s="9">
        <f>IF(Select&gt;=6,SUM($G$62:$H$62),"")</f>
      </c>
      <c r="J62" s="9">
        <f>IF(Select&gt;=6,IF((I62/F62&gt;=40%),E62,0),"")</f>
      </c>
      <c r="K62" s="9">
        <f>IF(Select&gt;=6,IF(AND(I62&gt;0),Grade,""),"")</f>
      </c>
      <c r="M62" s="25" t="e">
        <f aca="true" t="shared" si="5" ref="M62:M69">IF(AND(K62="A"),4,IF(AND(K62="B"),3,IF(AND(K62="C"),2,IF(AND(K62="D"),1,0))))*J62</f>
        <v>#VALUE!</v>
      </c>
    </row>
    <row r="63" spans="2:13" ht="16.5">
      <c r="B63" s="40">
        <f>IF(Select&gt;=6,"IV-I Sem","")</f>
      </c>
      <c r="C63" s="9">
        <f>IF(Select&gt;=6,C62+1,"")</f>
      </c>
      <c r="D63" s="16" t="s">
        <v>61</v>
      </c>
      <c r="E63" s="9">
        <f>IF(Select&gt;=6,3,"")</f>
      </c>
      <c r="F63" s="9">
        <f>IF(Select&gt;=6,100,"")</f>
      </c>
      <c r="G63" s="17"/>
      <c r="H63" s="17"/>
      <c r="I63" s="9">
        <f>IF(Select&gt;=6,SUM($G$63:$H$63),"")</f>
      </c>
      <c r="J63" s="9">
        <f>IF(Select&gt;=6,IF((I63/F63&gt;=40%),E63,0),"")</f>
      </c>
      <c r="K63" s="9">
        <f>IF(Select&gt;=6,IF(AND(I63&gt;0),Grade,""),"")</f>
      </c>
      <c r="M63" s="25" t="e">
        <f t="shared" si="5"/>
        <v>#VALUE!</v>
      </c>
    </row>
    <row r="64" spans="2:13" ht="16.5">
      <c r="B64" s="40"/>
      <c r="C64" s="9">
        <f>IF(Select&gt;=6,C63+1,"")</f>
      </c>
      <c r="D64" s="16" t="s">
        <v>62</v>
      </c>
      <c r="E64" s="9">
        <f>IF(Select&gt;=6,4,"")</f>
      </c>
      <c r="F64" s="9">
        <f>IF(Select&gt;=6,100,"")</f>
      </c>
      <c r="G64" s="17"/>
      <c r="H64" s="17"/>
      <c r="I64" s="9">
        <f>IF(Select&gt;=6,SUM($G$64:$H$64),"")</f>
      </c>
      <c r="J64" s="9">
        <f>IF(Select&gt;=6,IF((I64/F64&gt;=40%),E64,0),"")</f>
      </c>
      <c r="K64" s="9">
        <f>IF(Select&gt;=6,IF(AND(I64&gt;0),Grade,""),"")</f>
      </c>
      <c r="M64" s="25" t="e">
        <f t="shared" si="5"/>
        <v>#VALUE!</v>
      </c>
    </row>
    <row r="65" spans="2:13" ht="16.5">
      <c r="B65" s="40"/>
      <c r="C65" s="9">
        <f>IF(Select&gt;=6,C64+1,"")</f>
      </c>
      <c r="D65" s="16" t="s">
        <v>63</v>
      </c>
      <c r="E65" s="9">
        <f>IF(Select&gt;=6,4,"")</f>
      </c>
      <c r="F65" s="9">
        <f>IF(Select&gt;=6,100,"")</f>
      </c>
      <c r="G65" s="17"/>
      <c r="H65" s="17"/>
      <c r="I65" s="9">
        <f>IF(Select&gt;=6,SUM($G$65:$H$65),"")</f>
      </c>
      <c r="J65" s="9">
        <f>IF(Select&gt;=6,IF((I65/F65&gt;=40%),E65,0),"")</f>
      </c>
      <c r="K65" s="9">
        <f>IF(Select&gt;=6,IF(AND(I65&gt;0),Grade,""),"")</f>
      </c>
      <c r="M65" s="25" t="e">
        <f t="shared" si="5"/>
        <v>#VALUE!</v>
      </c>
    </row>
    <row r="66" spans="2:13" ht="16.5">
      <c r="B66" s="40"/>
      <c r="C66" s="9">
        <f>IF(Select&gt;=6,C65+1,"")</f>
      </c>
      <c r="D66" s="16" t="s">
        <v>64</v>
      </c>
      <c r="E66" s="9">
        <f>IF(Select&gt;=6,3,"")</f>
      </c>
      <c r="F66" s="9">
        <f>IF(Select&gt;=6,100,"")</f>
      </c>
      <c r="G66" s="17"/>
      <c r="H66" s="17"/>
      <c r="I66" s="9">
        <f>IF(Select&gt;=6,SUM($G$66:$H$66),"")</f>
      </c>
      <c r="J66" s="9">
        <f>IF(Select&gt;=6,IF((I66/F66&gt;=40%),E66,0),"")</f>
      </c>
      <c r="K66" s="9">
        <f>IF(Select&gt;=6,IF(AND(I66&gt;0),Grade,""),"")</f>
      </c>
      <c r="M66" s="25" t="e">
        <f t="shared" si="5"/>
        <v>#VALUE!</v>
      </c>
    </row>
    <row r="67" spans="2:13" ht="16.5">
      <c r="B67" s="40"/>
      <c r="C67" s="9">
        <f>IF(Select&gt;=6,C66+1,"")</f>
      </c>
      <c r="D67" s="16" t="s">
        <v>65</v>
      </c>
      <c r="E67" s="9">
        <f>IF(Select&gt;=6,4,"")</f>
      </c>
      <c r="F67" s="9">
        <f>IF(Select&gt;=6,100,"")</f>
      </c>
      <c r="G67" s="17"/>
      <c r="H67" s="17"/>
      <c r="I67" s="9">
        <f>IF(Select&gt;=6,SUM($G$67:$H$67),"")</f>
      </c>
      <c r="J67" s="9">
        <f>IF(Select&gt;=6,IF((I67/F67&gt;=40%),E67,0),"")</f>
      </c>
      <c r="K67" s="9">
        <f>IF(Select&gt;=6,IF(AND(I67&gt;0),Grade,""),"")</f>
      </c>
      <c r="M67" s="25" t="e">
        <f t="shared" si="5"/>
        <v>#VALUE!</v>
      </c>
    </row>
    <row r="68" spans="2:13" ht="16.5">
      <c r="B68" s="40"/>
      <c r="C68" s="9">
        <f>IF(Select&gt;=6,C67+1,"")</f>
      </c>
      <c r="D68" s="16" t="s">
        <v>66</v>
      </c>
      <c r="E68" s="9">
        <f>IF(Select&gt;=6,2,"")</f>
      </c>
      <c r="F68" s="9">
        <f>IF(Select&gt;=6,75,"")</f>
      </c>
      <c r="G68" s="17"/>
      <c r="H68" s="17"/>
      <c r="I68" s="9">
        <f>IF(Select&gt;=6,SUM($G$68:$H$68),"")</f>
      </c>
      <c r="J68" s="9">
        <f>IF(Select&gt;=6,IF((I68/F68&gt;=40%),E68,0),"")</f>
      </c>
      <c r="K68" s="9">
        <f>IF(Select&gt;=6,IF(AND(I68&gt;0),Grade,""),"")</f>
      </c>
      <c r="M68" s="25" t="e">
        <f t="shared" si="5"/>
        <v>#VALUE!</v>
      </c>
    </row>
    <row r="69" spans="2:13" ht="16.5">
      <c r="B69" s="18">
        <f>IF(Select&gt;=6,"GPA","")</f>
      </c>
      <c r="C69" s="9">
        <f>IF(Select&gt;=6,C68+1,"")</f>
      </c>
      <c r="D69" s="16" t="s">
        <v>67</v>
      </c>
      <c r="E69" s="9">
        <f>IF(Select&gt;=6,2,"")</f>
      </c>
      <c r="F69" s="9">
        <f>IF(Select&gt;=6,75,"")</f>
      </c>
      <c r="G69" s="17"/>
      <c r="H69" s="17"/>
      <c r="I69" s="9">
        <f>IF(Select&gt;=6,SUM($G$69:$H$69),"")</f>
      </c>
      <c r="J69" s="9">
        <f>IF(Select&gt;=6,IF((I69/F69&gt;=40%),E69,0),"")</f>
      </c>
      <c r="K69" s="9">
        <f>IF(Select&gt;=6,IF(AND(I69&gt;0),Grade,""),"")</f>
      </c>
      <c r="M69" s="25" t="e">
        <f t="shared" si="5"/>
        <v>#VALUE!</v>
      </c>
    </row>
    <row r="70" spans="2:14" s="8" customFormat="1" ht="16.5">
      <c r="B70" s="19">
        <f>IF(Select&gt;=6,SUM(M62:M69)/E70,"")</f>
      </c>
      <c r="C70" s="10"/>
      <c r="D70" s="2">
        <f>IF(Select&gt;=6,"Total","")</f>
      </c>
      <c r="E70" s="10">
        <f>IF(Select&gt;=6,SUM($E$62:$E$69),"")</f>
      </c>
      <c r="F70" s="10">
        <f>IF(Select&gt;=6,SUM($F$62:$F$69),"")</f>
      </c>
      <c r="G70" s="10">
        <f>IF(Select&gt;=6,SUM($G$62:$G$69),"")</f>
      </c>
      <c r="H70" s="10">
        <f>IF(Select&gt;=6,SUM($H$62:$H$69),"")</f>
      </c>
      <c r="I70" s="10">
        <f>IF(Select&gt;=6,SUM($I$62:$I$69),"")</f>
      </c>
      <c r="J70" s="10">
        <f>IF(Select&gt;=6,SUM($J$62:$J$69),"")</f>
      </c>
      <c r="K70" s="10">
        <f>IF(AND(Select&gt;=6),IF(AND(J70=E70),Grade,CONCATENATE(COUNTIF(K62:K69,"F")," Backlog(s)")),"")</f>
      </c>
      <c r="M70" s="25"/>
      <c r="N70" s="22"/>
    </row>
    <row r="72" spans="2:13" ht="16.5">
      <c r="B72" s="29">
        <f>IF(Select&gt;=7,I79/F79,"")</f>
      </c>
      <c r="C72" s="9">
        <f>IF(Select&gt;=7,1,"")</f>
      </c>
      <c r="D72" s="16" t="s">
        <v>60</v>
      </c>
      <c r="E72" s="9">
        <f>IF(Select&gt;=7,3,"")</f>
      </c>
      <c r="F72" s="9">
        <f>IF(Select&gt;=7,100,"")</f>
      </c>
      <c r="G72" s="17"/>
      <c r="H72" s="17"/>
      <c r="I72" s="9">
        <f>IF(Select&gt;=7,SUM($G$72:$H$72),"")</f>
      </c>
      <c r="J72" s="9">
        <f>IF(Select&gt;=7,IF((I72/F72&gt;=40%),E72,0),"")</f>
      </c>
      <c r="K72" s="9">
        <f>IF(Select&gt;=7,IF(AND(I72&gt;0),Grade,""),"")</f>
      </c>
      <c r="M72" s="25" t="e">
        <f aca="true" t="shared" si="6" ref="M72:M78">IF(AND(K72="A"),4,IF(AND(K72="B"),3,IF(AND(K72="C"),2,IF(AND(K72="D"),1,0))))*J72</f>
        <v>#VALUE!</v>
      </c>
    </row>
    <row r="73" spans="2:13" ht="16.5">
      <c r="B73" s="40">
        <f>IF(Select&gt;=7,"IV-II Sem","")</f>
      </c>
      <c r="C73" s="9">
        <f>IF(Select&gt;=7,C72+1,"")</f>
      </c>
      <c r="D73" s="16" t="s">
        <v>68</v>
      </c>
      <c r="E73" s="9">
        <f>IF(Select&gt;=7,3,"")</f>
      </c>
      <c r="F73" s="9">
        <f>IF(Select&gt;=7,100,"")</f>
      </c>
      <c r="G73" s="17"/>
      <c r="H73" s="17"/>
      <c r="I73" s="9">
        <f>IF(Select&gt;=7,SUM($G$73:$H$73),"")</f>
      </c>
      <c r="J73" s="9">
        <f>IF(Select&gt;=7,IF((I73/F73&gt;=40%),E73,0),"")</f>
      </c>
      <c r="K73" s="9">
        <f>IF(Select&gt;=7,IF(AND(I73&gt;0),Grade,""),"")</f>
      </c>
      <c r="M73" s="25" t="e">
        <f t="shared" si="6"/>
        <v>#VALUE!</v>
      </c>
    </row>
    <row r="74" spans="2:13" ht="16.5">
      <c r="B74" s="40"/>
      <c r="C74" s="9">
        <f>IF(Select&gt;=7,C73+1,"")</f>
      </c>
      <c r="D74" s="16" t="s">
        <v>69</v>
      </c>
      <c r="E74" s="9">
        <f>IF(Select&gt;=7,3,"")</f>
      </c>
      <c r="F74" s="9">
        <f>IF(Select&gt;=7,100,"")</f>
      </c>
      <c r="G74" s="17"/>
      <c r="H74" s="17"/>
      <c r="I74" s="9">
        <f>IF(Select&gt;=7,SUM($G$74:$H$74),"")</f>
      </c>
      <c r="J74" s="9">
        <f>IF(Select&gt;=7,IF((I74/F74&gt;=40%),E74,0),"")</f>
      </c>
      <c r="K74" s="9">
        <f>IF(Select&gt;=7,IF(AND(I74&gt;0),Grade,""),"")</f>
      </c>
      <c r="M74" s="25" t="e">
        <f t="shared" si="6"/>
        <v>#VALUE!</v>
      </c>
    </row>
    <row r="75" spans="2:13" ht="16.5">
      <c r="B75" s="40"/>
      <c r="C75" s="9">
        <f>IF(Select&gt;=7,C74+1,"")</f>
      </c>
      <c r="D75" s="1" t="s">
        <v>16</v>
      </c>
      <c r="E75" s="9">
        <f>IF(Select&gt;=7,10,"")</f>
      </c>
      <c r="F75" s="9">
        <f>IF(Select&gt;=7,200,"")</f>
      </c>
      <c r="G75" s="17"/>
      <c r="H75" s="17"/>
      <c r="I75" s="9">
        <f>IF(Select&gt;=7,SUM($G$75:$H$75),"")</f>
      </c>
      <c r="J75" s="9">
        <f>IF(Select&gt;=7,IF((I75/F75&gt;=40%),E75,0),"")</f>
      </c>
      <c r="K75" s="9">
        <f>IF(Select&gt;=7,IF(AND(I75&gt;0),Grade,""),"")</f>
      </c>
      <c r="M75" s="25" t="e">
        <f t="shared" si="6"/>
        <v>#VALUE!</v>
      </c>
    </row>
    <row r="76" spans="2:13" ht="16.5">
      <c r="B76" s="40"/>
      <c r="C76" s="9">
        <f>IF(Select&gt;=7,C75+1,"")</f>
      </c>
      <c r="D76" s="1" t="s">
        <v>17</v>
      </c>
      <c r="E76" s="9">
        <f>IF(Select&gt;=7,2,"")</f>
      </c>
      <c r="F76" s="9">
        <f>IF(Select&gt;=7,50,"")</f>
      </c>
      <c r="G76" s="17"/>
      <c r="H76" s="9" t="s">
        <v>18</v>
      </c>
      <c r="I76" s="9">
        <f>IF(Select&gt;=7,SUM($G$76:$H$76),"")</f>
      </c>
      <c r="J76" s="9">
        <f>IF(Select&gt;=7,IF((I76/F76&gt;=40%),E76,0),"")</f>
      </c>
      <c r="K76" s="9">
        <f>IF(Select&gt;=7,IF(AND(I76&gt;0),Grade,""),"")</f>
      </c>
      <c r="M76" s="25" t="e">
        <f t="shared" si="6"/>
        <v>#VALUE!</v>
      </c>
    </row>
    <row r="77" spans="2:13" ht="16.5">
      <c r="B77" s="40"/>
      <c r="C77" s="9">
        <f>IF(Select&gt;=7,C76+1,"")</f>
      </c>
      <c r="D77" s="1" t="s">
        <v>19</v>
      </c>
      <c r="E77" s="9">
        <f>IF(Select&gt;=7,2,"")</f>
      </c>
      <c r="F77" s="9">
        <f>IF(Select&gt;=7,50,"")</f>
      </c>
      <c r="G77" s="9" t="s">
        <v>18</v>
      </c>
      <c r="H77" s="17"/>
      <c r="I77" s="9">
        <f>IF(Select&gt;=7,SUM($G$77:$H$77),"")</f>
      </c>
      <c r="J77" s="9">
        <f>IF(Select&gt;=7,IF((I77/F77&gt;=40%),E77,0),"")</f>
      </c>
      <c r="K77" s="9">
        <f>IF(Select&gt;=7,IF(AND(I77&gt;0),Grade,""),"")</f>
      </c>
      <c r="M77" s="25" t="e">
        <f t="shared" si="6"/>
        <v>#VALUE!</v>
      </c>
    </row>
    <row r="78" spans="2:13" ht="16.5">
      <c r="B78" s="18">
        <f>IF(Select&gt;=7,"GPA","")</f>
      </c>
      <c r="C78" s="9">
        <f>IF(Select&gt;=7,C77+1,"")</f>
      </c>
      <c r="D78" s="1" t="s">
        <v>20</v>
      </c>
      <c r="E78" s="9">
        <f>IF(Select&gt;=7,2,"")</f>
      </c>
      <c r="F78" s="9">
        <f>IF(Select&gt;=7,100,"")</f>
      </c>
      <c r="G78" s="9" t="s">
        <v>18</v>
      </c>
      <c r="H78" s="17"/>
      <c r="I78" s="9">
        <f>IF(Select&gt;=7,SUM($G$78:$H$78),"")</f>
      </c>
      <c r="J78" s="9">
        <f>IF(Select&gt;=7,IF((I78/F78&gt;=40%),E78,0),"")</f>
      </c>
      <c r="K78" s="9">
        <f>IF(Select&gt;=7,IF(AND(I78&gt;0),Grade,""),"")</f>
      </c>
      <c r="M78" s="25" t="e">
        <f t="shared" si="6"/>
        <v>#VALUE!</v>
      </c>
    </row>
    <row r="79" spans="2:14" s="8" customFormat="1" ht="15">
      <c r="B79" s="19">
        <f>IF(Select&gt;=7,SUM(M71:M78)/E79,"")</f>
      </c>
      <c r="C79" s="10"/>
      <c r="D79" s="2">
        <f>IF(Select&gt;=7,"Total","")</f>
      </c>
      <c r="E79" s="10">
        <f>IF(Select&gt;=7,SUM($E$72:$E$78),"")</f>
      </c>
      <c r="F79" s="10">
        <f>IF(Select&gt;=7,SUM($F$72:$F$78),"")</f>
      </c>
      <c r="G79" s="10">
        <f>IF(Select&gt;=7,SUM($G$72:$G$78),"")</f>
      </c>
      <c r="H79" s="10">
        <f>IF(Select&gt;=7,SUM($H$72:$H$78),"")</f>
      </c>
      <c r="I79" s="10">
        <f>IF(Select&gt;=7,SUM($I$72:$I$78),"")</f>
      </c>
      <c r="J79" s="10">
        <f>IF(Select&gt;=7,SUM($J$72:$J$78),"")</f>
      </c>
      <c r="K79" s="10">
        <f>IF(AND(Select&gt;=7),IF(AND(J79=E79),Grade,CONCATENATE(COUNTIF(K72:K78,"F")," Backlog(s)")),"")</f>
      </c>
      <c r="M79" s="26"/>
      <c r="N79" s="22"/>
    </row>
  </sheetData>
  <sheetProtection password="9079" sheet="1"/>
  <mergeCells count="15">
    <mergeCell ref="B73:B77"/>
    <mergeCell ref="B10:B18"/>
    <mergeCell ref="B23:B28"/>
    <mergeCell ref="B33:B38"/>
    <mergeCell ref="B43:B48"/>
    <mergeCell ref="B53:B58"/>
    <mergeCell ref="B63:B68"/>
    <mergeCell ref="I7:K7"/>
    <mergeCell ref="B6:C6"/>
    <mergeCell ref="B2:K2"/>
    <mergeCell ref="B4:C4"/>
    <mergeCell ref="B5:C5"/>
    <mergeCell ref="F5:G5"/>
    <mergeCell ref="H5:I5"/>
    <mergeCell ref="H6:I6"/>
  </mergeCells>
  <conditionalFormatting sqref="G20:H20 D20 B9:C20 E9:F20 I9:K20">
    <cfRule type="expression" priority="1" dxfId="83" stopIfTrue="1">
      <formula>(Select)&gt;=1</formula>
    </cfRule>
  </conditionalFormatting>
  <conditionalFormatting sqref="A21:L21 A9:A20 L9:L20">
    <cfRule type="expression" priority="2" dxfId="69" stopIfTrue="1">
      <formula>(Select)&gt;=1</formula>
    </cfRule>
  </conditionalFormatting>
  <conditionalFormatting sqref="B22:C30 D30 E22:E30 F30:H30 F22:F29 I22:K30">
    <cfRule type="expression" priority="3" dxfId="83" stopIfTrue="1">
      <formula>(Select)&gt;=2</formula>
    </cfRule>
  </conditionalFormatting>
  <conditionalFormatting sqref="A31:L31 A22:A30 L22:L30">
    <cfRule type="expression" priority="4" dxfId="69" stopIfTrue="1">
      <formula>(Select)&gt;=2</formula>
    </cfRule>
  </conditionalFormatting>
  <conditionalFormatting sqref="B32:C40 D40 E32:E40 F40:H40 F32:F39 I32:K40">
    <cfRule type="expression" priority="5" dxfId="83" stopIfTrue="1">
      <formula>(Select)&gt;=3</formula>
    </cfRule>
  </conditionalFormatting>
  <conditionalFormatting sqref="A41:L41 A32:A40 L32:L40">
    <cfRule type="expression" priority="6" dxfId="69" stopIfTrue="1">
      <formula>(Select)&gt;=3</formula>
    </cfRule>
  </conditionalFormatting>
  <conditionalFormatting sqref="B42:C50 D50 E42:E50 F50:H50 F42:F49 I42:K50">
    <cfRule type="expression" priority="7" dxfId="83" stopIfTrue="1">
      <formula>(Select)&gt;=4</formula>
    </cfRule>
  </conditionalFormatting>
  <conditionalFormatting sqref="A51:L51 A42:A50 L42:L50">
    <cfRule type="expression" priority="8" dxfId="69" stopIfTrue="1">
      <formula>(Select)&gt;=4</formula>
    </cfRule>
  </conditionalFormatting>
  <conditionalFormatting sqref="B52:C60 D60 E52:E60 F60:H60 F52:F59 I52:K60">
    <cfRule type="expression" priority="9" dxfId="83" stopIfTrue="1">
      <formula>(Select)&gt;=5</formula>
    </cfRule>
  </conditionalFormatting>
  <conditionalFormatting sqref="A61:L61 A52:A60 L52:L60">
    <cfRule type="expression" priority="10" dxfId="69" stopIfTrue="1">
      <formula>(Select)&gt;=5</formula>
    </cfRule>
  </conditionalFormatting>
  <conditionalFormatting sqref="B62:C70 D70 E62:E70 F70:H70 F62:F69 I62:K70">
    <cfRule type="expression" priority="11" dxfId="83" stopIfTrue="1">
      <formula>(Select)&gt;=6</formula>
    </cfRule>
  </conditionalFormatting>
  <conditionalFormatting sqref="A71:L71 A62:A70 L62:L70">
    <cfRule type="expression" priority="12" dxfId="69" stopIfTrue="1">
      <formula>(Select)&gt;=6</formula>
    </cfRule>
  </conditionalFormatting>
  <conditionalFormatting sqref="B72:C79 D79:H79 E72:F78 I72:K79">
    <cfRule type="expression" priority="13" dxfId="83" stopIfTrue="1">
      <formula>(Select)&gt;=7</formula>
    </cfRule>
  </conditionalFormatting>
  <conditionalFormatting sqref="A80:L80 A72:A79 L72:L79">
    <cfRule type="expression" priority="14" dxfId="69" stopIfTrue="1">
      <formula>(Select)&gt;=7</formula>
    </cfRule>
  </conditionalFormatting>
  <conditionalFormatting sqref="D9:D19 G9:H19">
    <cfRule type="expression" priority="15" dxfId="84" stopIfTrue="1">
      <formula>(Select)&gt;=1</formula>
    </cfRule>
    <cfRule type="expression" priority="16" dxfId="85" stopIfTrue="1">
      <formula>(Select)=0</formula>
    </cfRule>
  </conditionalFormatting>
  <conditionalFormatting sqref="D32:D39 G32:H39">
    <cfRule type="expression" priority="17" dxfId="84" stopIfTrue="1">
      <formula>(Select)&gt;=3</formula>
    </cfRule>
    <cfRule type="expression" priority="18" dxfId="85" stopIfTrue="1">
      <formula>(Select)&lt;=2</formula>
    </cfRule>
  </conditionalFormatting>
  <conditionalFormatting sqref="D22:D29 G22:H29">
    <cfRule type="expression" priority="19" dxfId="84" stopIfTrue="1">
      <formula>(Select)&gt;=2</formula>
    </cfRule>
    <cfRule type="expression" priority="20" dxfId="85" stopIfTrue="1">
      <formula>(Select)&lt;=1</formula>
    </cfRule>
  </conditionalFormatting>
  <conditionalFormatting sqref="D42:D49 G42:H49">
    <cfRule type="expression" priority="21" dxfId="84" stopIfTrue="1">
      <formula>(Select)&gt;=4</formula>
    </cfRule>
    <cfRule type="expression" priority="22" dxfId="85" stopIfTrue="1">
      <formula>(Select)&lt;=3</formula>
    </cfRule>
  </conditionalFormatting>
  <conditionalFormatting sqref="D52:D59 G52:H59">
    <cfRule type="expression" priority="23" dxfId="84" stopIfTrue="1">
      <formula>(Select)&gt;=5</formula>
    </cfRule>
    <cfRule type="expression" priority="24" dxfId="85" stopIfTrue="1">
      <formula>(Select)&lt;=4</formula>
    </cfRule>
  </conditionalFormatting>
  <conditionalFormatting sqref="D62:D69 G62:H69">
    <cfRule type="expression" priority="25" dxfId="84" stopIfTrue="1">
      <formula>(Select)&gt;=6</formula>
    </cfRule>
    <cfRule type="expression" priority="26" dxfId="85" stopIfTrue="1">
      <formula>(Select)&lt;=5</formula>
    </cfRule>
  </conditionalFormatting>
  <conditionalFormatting sqref="D72:D78 G72:H78">
    <cfRule type="expression" priority="27" dxfId="84" stopIfTrue="1">
      <formula>(Select)&gt;=7</formula>
    </cfRule>
    <cfRule type="expression" priority="28" dxfId="85" stopIfTrue="1">
      <formula>(Select)&lt;=6</formula>
    </cfRule>
  </conditionalFormatting>
  <conditionalFormatting sqref="G6">
    <cfRule type="expression" priority="29" dxfId="54" stopIfTrue="1">
      <formula>(Select)&gt;=1</formula>
    </cfRule>
  </conditionalFormatting>
  <conditionalFormatting sqref="K22:K29 K32:K39 K42:K49 K52:K59 K62:K69 K72:K78 K9:K19">
    <cfRule type="expression" priority="30" dxfId="86" stopIfTrue="1">
      <formula>NOT(ISERROR(SEARCH("F",K9)))</formula>
    </cfRule>
  </conditionalFormatting>
  <conditionalFormatting sqref="K20">
    <cfRule type="expression" priority="31" dxfId="86" stopIfTrue="1">
      <formula>$E$20&lt;&gt;$J$20</formula>
    </cfRule>
  </conditionalFormatting>
  <conditionalFormatting sqref="K30">
    <cfRule type="expression" priority="32" dxfId="86" stopIfTrue="1">
      <formula>$E$30&lt;&gt;$J$30</formula>
    </cfRule>
  </conditionalFormatting>
  <conditionalFormatting sqref="K40">
    <cfRule type="expression" priority="33" dxfId="86" stopIfTrue="1">
      <formula>$E$40&lt;&gt;$J$40</formula>
    </cfRule>
  </conditionalFormatting>
  <conditionalFormatting sqref="K50">
    <cfRule type="expression" priority="34" dxfId="86" stopIfTrue="1">
      <formula>$E$50&lt;&gt;$J$50</formula>
    </cfRule>
  </conditionalFormatting>
  <conditionalFormatting sqref="K60">
    <cfRule type="expression" priority="35" dxfId="86" stopIfTrue="1">
      <formula>$E$60&lt;&gt;$J$60</formula>
    </cfRule>
  </conditionalFormatting>
  <conditionalFormatting sqref="K70">
    <cfRule type="expression" priority="36" dxfId="86" stopIfTrue="1">
      <formula>$E$70&lt;&gt;$J$70</formula>
    </cfRule>
  </conditionalFormatting>
  <conditionalFormatting sqref="K79">
    <cfRule type="expression" priority="37" dxfId="86" stopIfTrue="1">
      <formula>$E$79&lt;&gt;$J$79</formula>
    </cfRule>
  </conditionalFormatting>
  <conditionalFormatting sqref="D22:D29 D32:D39 G32:H39 D42:D49 G42:H49 D52:D59 G52:H59 D62:D69 G62:H69 D72:D78 G72:H78 G22:H29 D9:D19 G9:H19">
    <cfRule type="expression" priority="38" dxfId="45" stopIfTrue="1">
      <formula>LEN(TRIM(D9))&gt;0</formula>
    </cfRule>
  </conditionalFormatting>
  <conditionalFormatting sqref="K20 K30 K40 K50 K60 K70 K79">
    <cfRule type="expression" priority="39" dxfId="85" stopIfTrue="1">
      <formula>NOT(ISERROR(SEARCH("0 Backlog(s)",K20)))</formula>
    </cfRule>
  </conditionalFormatting>
  <conditionalFormatting sqref="B30">
    <cfRule type="expression" priority="40" dxfId="83" stopIfTrue="1">
      <formula>(Select)&gt;=1</formula>
    </cfRule>
  </conditionalFormatting>
  <conditionalFormatting sqref="B40">
    <cfRule type="expression" priority="41" dxfId="83" stopIfTrue="1">
      <formula>(Select)&gt;=2</formula>
    </cfRule>
  </conditionalFormatting>
  <conditionalFormatting sqref="B40">
    <cfRule type="expression" priority="42" dxfId="83" stopIfTrue="1">
      <formula>(Select)&gt;=1</formula>
    </cfRule>
  </conditionalFormatting>
  <conditionalFormatting sqref="B50">
    <cfRule type="expression" priority="43" dxfId="83" stopIfTrue="1">
      <formula>(Select)&gt;=2</formula>
    </cfRule>
  </conditionalFormatting>
  <conditionalFormatting sqref="B50">
    <cfRule type="expression" priority="44" dxfId="83" stopIfTrue="1">
      <formula>(Select)&gt;=1</formula>
    </cfRule>
  </conditionalFormatting>
  <conditionalFormatting sqref="B60">
    <cfRule type="expression" priority="45" dxfId="83" stopIfTrue="1">
      <formula>(Select)&gt;=2</formula>
    </cfRule>
  </conditionalFormatting>
  <conditionalFormatting sqref="B60">
    <cfRule type="expression" priority="46" dxfId="83" stopIfTrue="1">
      <formula>(Select)&gt;=1</formula>
    </cfRule>
  </conditionalFormatting>
  <conditionalFormatting sqref="B70">
    <cfRule type="expression" priority="47" dxfId="83" stopIfTrue="1">
      <formula>(Select)&gt;=2</formula>
    </cfRule>
  </conditionalFormatting>
  <conditionalFormatting sqref="B70">
    <cfRule type="expression" priority="48" dxfId="83" stopIfTrue="1">
      <formula>(Select)&gt;=1</formula>
    </cfRule>
  </conditionalFormatting>
  <conditionalFormatting sqref="B79">
    <cfRule type="expression" priority="49" dxfId="83" stopIfTrue="1">
      <formula>(Select)&gt;=2</formula>
    </cfRule>
  </conditionalFormatting>
  <conditionalFormatting sqref="B79">
    <cfRule type="expression" priority="50" dxfId="83" stopIfTrue="1">
      <formula>(Select)&gt;=1</formula>
    </cfRule>
  </conditionalFormatting>
  <conditionalFormatting sqref="B69">
    <cfRule type="expression" priority="51" dxfId="83" stopIfTrue="1">
      <formula>(Select)&gt;=7</formula>
    </cfRule>
  </conditionalFormatting>
  <conditionalFormatting sqref="B59">
    <cfRule type="expression" priority="52" dxfId="83" stopIfTrue="1">
      <formula>(Select)&gt;=7</formula>
    </cfRule>
  </conditionalFormatting>
  <conditionalFormatting sqref="B49">
    <cfRule type="expression" priority="53" dxfId="83" stopIfTrue="1">
      <formula>(Select)&gt;=7</formula>
    </cfRule>
  </conditionalFormatting>
  <conditionalFormatting sqref="B39">
    <cfRule type="expression" priority="54" dxfId="83" stopIfTrue="1">
      <formula>(Select)&gt;=7</formula>
    </cfRule>
  </conditionalFormatting>
  <conditionalFormatting sqref="B29">
    <cfRule type="expression" priority="55" dxfId="83" stopIfTrue="1">
      <formula>(Select)&gt;=7</formula>
    </cfRule>
  </conditionalFormatting>
  <conditionalFormatting sqref="B19">
    <cfRule type="expression" priority="56" dxfId="83" stopIfTrue="1">
      <formula>(Select)&gt;=7</formula>
    </cfRule>
  </conditionalFormatting>
  <conditionalFormatting sqref="B30">
    <cfRule type="expression" priority="57" dxfId="83" stopIfTrue="1">
      <formula>(Select)&gt;=1</formula>
    </cfRule>
  </conditionalFormatting>
  <conditionalFormatting sqref="B30">
    <cfRule type="expression" priority="58" dxfId="83" stopIfTrue="1">
      <formula>(Select)&gt;=1</formula>
    </cfRule>
  </conditionalFormatting>
  <conditionalFormatting sqref="B40">
    <cfRule type="expression" priority="59" dxfId="83" stopIfTrue="1">
      <formula>(Select)&gt;=2</formula>
    </cfRule>
  </conditionalFormatting>
  <conditionalFormatting sqref="B40">
    <cfRule type="expression" priority="60" dxfId="83" stopIfTrue="1">
      <formula>(Select)&gt;=1</formula>
    </cfRule>
  </conditionalFormatting>
  <conditionalFormatting sqref="B40">
    <cfRule type="expression" priority="61" dxfId="83" stopIfTrue="1">
      <formula>(Select)&gt;=1</formula>
    </cfRule>
  </conditionalFormatting>
  <conditionalFormatting sqref="B40">
    <cfRule type="expression" priority="62" dxfId="83" stopIfTrue="1">
      <formula>(Select)&gt;=1</formula>
    </cfRule>
  </conditionalFormatting>
  <conditionalFormatting sqref="B50">
    <cfRule type="expression" priority="63" dxfId="83" stopIfTrue="1">
      <formula>(Select)&gt;=2</formula>
    </cfRule>
  </conditionalFormatting>
  <conditionalFormatting sqref="B50">
    <cfRule type="expression" priority="64" dxfId="83" stopIfTrue="1">
      <formula>(Select)&gt;=1</formula>
    </cfRule>
  </conditionalFormatting>
  <conditionalFormatting sqref="B50">
    <cfRule type="expression" priority="65" dxfId="83" stopIfTrue="1">
      <formula>(Select)&gt;=1</formula>
    </cfRule>
  </conditionalFormatting>
  <conditionalFormatting sqref="B50">
    <cfRule type="expression" priority="66" dxfId="83" stopIfTrue="1">
      <formula>(Select)&gt;=1</formula>
    </cfRule>
  </conditionalFormatting>
  <conditionalFormatting sqref="B60">
    <cfRule type="expression" priority="67" dxfId="83" stopIfTrue="1">
      <formula>(Select)&gt;=2</formula>
    </cfRule>
  </conditionalFormatting>
  <conditionalFormatting sqref="B60">
    <cfRule type="expression" priority="68" dxfId="83" stopIfTrue="1">
      <formula>(Select)&gt;=1</formula>
    </cfRule>
  </conditionalFormatting>
  <conditionalFormatting sqref="B60">
    <cfRule type="expression" priority="69" dxfId="83" stopIfTrue="1">
      <formula>(Select)&gt;=1</formula>
    </cfRule>
  </conditionalFormatting>
  <conditionalFormatting sqref="B60">
    <cfRule type="expression" priority="70" dxfId="83" stopIfTrue="1">
      <formula>(Select)&gt;=1</formula>
    </cfRule>
  </conditionalFormatting>
  <conditionalFormatting sqref="B70">
    <cfRule type="expression" priority="71" dxfId="83" stopIfTrue="1">
      <formula>(Select)&gt;=2</formula>
    </cfRule>
  </conditionalFormatting>
  <conditionalFormatting sqref="B70">
    <cfRule type="expression" priority="72" dxfId="83" stopIfTrue="1">
      <formula>(Select)&gt;=1</formula>
    </cfRule>
  </conditionalFormatting>
  <conditionalFormatting sqref="B70">
    <cfRule type="expression" priority="73" dxfId="83" stopIfTrue="1">
      <formula>(Select)&gt;=1</formula>
    </cfRule>
  </conditionalFormatting>
  <conditionalFormatting sqref="B70">
    <cfRule type="expression" priority="74" dxfId="83" stopIfTrue="1">
      <formula>(Select)&gt;=1</formula>
    </cfRule>
  </conditionalFormatting>
  <conditionalFormatting sqref="B79">
    <cfRule type="expression" priority="75" dxfId="83" stopIfTrue="1">
      <formula>(Select)&gt;=2</formula>
    </cfRule>
  </conditionalFormatting>
  <conditionalFormatting sqref="B79">
    <cfRule type="expression" priority="76" dxfId="83" stopIfTrue="1">
      <formula>(Select)&gt;=1</formula>
    </cfRule>
  </conditionalFormatting>
  <conditionalFormatting sqref="B79">
    <cfRule type="expression" priority="77" dxfId="83" stopIfTrue="1">
      <formula>(Select)&gt;=1</formula>
    </cfRule>
  </conditionalFormatting>
  <conditionalFormatting sqref="B79">
    <cfRule type="expression" priority="78" dxfId="83" stopIfTrue="1">
      <formula>(Select)&gt;=1</formula>
    </cfRule>
  </conditionalFormatting>
  <conditionalFormatting sqref="B79">
    <cfRule type="expression" priority="79" dxfId="83" stopIfTrue="1">
      <formula>(Select)&gt;=2</formula>
    </cfRule>
  </conditionalFormatting>
  <conditionalFormatting sqref="B79">
    <cfRule type="expression" priority="80" dxfId="83" stopIfTrue="1">
      <formula>(Select)&gt;=1</formula>
    </cfRule>
  </conditionalFormatting>
  <conditionalFormatting sqref="B79">
    <cfRule type="expression" priority="81" dxfId="83" stopIfTrue="1">
      <formula>(Select)&gt;=1</formula>
    </cfRule>
  </conditionalFormatting>
  <conditionalFormatting sqref="B79">
    <cfRule type="expression" priority="82" dxfId="83" stopIfTrue="1">
      <formula>(Select)&gt;=1</formula>
    </cfRule>
  </conditionalFormatting>
  <conditionalFormatting sqref="G20:J20 G30:J30 I22:J29 G40:J40 I32:J39 G50:J50 I42:J49 G60:J60 I52:J59 G70:J70 I62:J69 G79:J79 I72:J78 I9:J19">
    <cfRule type="cellIs" priority="83" dxfId="85" operator="equal" stopIfTrue="1">
      <formula>0</formula>
    </cfRule>
  </conditionalFormatting>
  <dataValidations count="9">
    <dataValidation type="whole" operator="lessThanOrEqual" allowBlank="1" showInputMessage="1" showErrorMessage="1" sqref="G72:G74">
      <formula1>25</formula1>
    </dataValidation>
    <dataValidation type="whole" operator="lessThanOrEqual" allowBlank="1" showInputMessage="1" showErrorMessage="1" sqref="G9:G19 G52:G59 G22:G29 G32:G39 G42:G49 G62:G69">
      <formula1>25</formula1>
    </dataValidation>
    <dataValidation type="whole" operator="lessThanOrEqual" allowBlank="1" showInputMessage="1" showErrorMessage="1" sqref="G75">
      <formula1>40</formula1>
    </dataValidation>
    <dataValidation type="whole" operator="lessThanOrEqual" allowBlank="1" showInputMessage="1" showErrorMessage="1" sqref="H78">
      <formula1>100</formula1>
    </dataValidation>
    <dataValidation type="whole" operator="lessThanOrEqual" allowBlank="1" showInputMessage="1" showErrorMessage="1" sqref="H75">
      <formula1>160</formula1>
    </dataValidation>
    <dataValidation type="whole" operator="lessThanOrEqual" allowBlank="1" showInputMessage="1" showErrorMessage="1" sqref="H72:H74">
      <formula1>75</formula1>
    </dataValidation>
    <dataValidation type="whole" operator="lessThanOrEqual" allowBlank="1" showInputMessage="1" showErrorMessage="1" sqref="H28:H29 H77 H38:H39 H48:H49 H58:H59 H68:H69 G76 H16:H19">
      <formula1>50</formula1>
    </dataValidation>
    <dataValidation type="list" allowBlank="1" showInputMessage="1" showErrorMessage="1" sqref="D6">
      <formula1>$N$9:$N$16</formula1>
    </dataValidation>
    <dataValidation type="whole" operator="lessThanOrEqual" allowBlank="1" showInputMessage="1" showErrorMessage="1" sqref="H9:H15 H22:H27 H32:H37 H42:H47 H52:H57 H62:H67">
      <formula1>75</formula1>
    </dataValidation>
  </dataValidations>
  <hyperlinks>
    <hyperlink ref="I7" r:id="rId1" display="www.engineershub.in"/>
  </hyperlinks>
  <printOptions/>
  <pageMargins left="0.7" right="0.7" top="0.75" bottom="0.75" header="0.3" footer="0.3"/>
  <pageSetup firstPageNumber="1" useFirstPageNumber="1" fitToHeight="1" fitToWidth="1" horizontalDpi="300" verticalDpi="300" orientation="portrait" r:id="rId3"/>
  <ignoredErrors>
    <ignoredError sqref="E12:E13 E26 E35 E53 E6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Sparcsis</dc:creator>
  <cp:keywords/>
  <dc:description/>
  <cp:lastModifiedBy>Sparcsis</cp:lastModifiedBy>
  <dcterms:created xsi:type="dcterms:W3CDTF">2012-03-05T13:55:17Z</dcterms:created>
  <dcterms:modified xsi:type="dcterms:W3CDTF">2012-03-05T18:46:38Z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